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omments1.xml" ContentType="application/vnd.openxmlformats-officedocument.spreadsheetml.comments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0" windowWidth="28710" windowHeight="12870" tabRatio="944" firstSheet="6" activeTab="16"/>
  </bookViews>
  <sheets>
    <sheet name="Tab-1 Executive Summary Content" sheetId="463" r:id="rId1"/>
    <sheet name="Tab-2 Revenue" sheetId="433" r:id="rId2"/>
    <sheet name="Tab-3 Labor Chart" sheetId="434" r:id="rId3"/>
    <sheet name="Tab-4 Expense" sheetId="435" r:id="rId4"/>
    <sheet name="Tab-5 CashFlowPlan" sheetId="448" r:id="rId5"/>
    <sheet name="Tab-6 Absolute" sheetId="440" r:id="rId6"/>
    <sheet name="Tab-7 FTE" sheetId="464" r:id="rId7"/>
    <sheet name="Tab-8 Revenue Per FTE" sheetId="442" r:id="rId8"/>
    <sheet name="Tab-9 Per Direct Hour" sheetId="439" r:id="rId9"/>
    <sheet name="Tab-10 Multiple of Direct Labor" sheetId="438" r:id="rId10"/>
    <sheet name="Tab-11 Revenue Factor" sheetId="437" r:id="rId11"/>
    <sheet name="Tab-12 Utilization Rates" sheetId="436" r:id="rId12"/>
    <sheet name="Tab-13 YearEndCash&amp;Reveivables" sheetId="443" r:id="rId13"/>
    <sheet name="Tab-14 CurrentData" sheetId="445" r:id="rId14"/>
    <sheet name="Tab-15 PriorData" sheetId="446" r:id="rId15"/>
    <sheet name="Tab-16 Analysis" sheetId="447" r:id="rId16"/>
    <sheet name="Tab-17 Profit Plan Content" sheetId="462" r:id="rId17"/>
    <sheet name="Tab-18 Rates" sheetId="449" r:id="rId18"/>
    <sheet name="Tab-19 Formula Variables" sheetId="456" r:id="rId19"/>
    <sheet name="Tab-20 ProfitTarget" sheetId="454" r:id="rId20"/>
    <sheet name="Tab-21 Labor Budget" sheetId="453" r:id="rId21"/>
    <sheet name="Tab-22 ProfitPlan" sheetId="452" r:id="rId22"/>
    <sheet name="Tab 23 PlanAnalysis" sheetId="450" r:id="rId23"/>
    <sheet name="Tab-24 TimeAnalysis" sheetId="451" r:id="rId24"/>
    <sheet name="Tab-25 LaborSummary" sheetId="459" r:id="rId25"/>
    <sheet name="Tab-26 Multiple_of_DPE" sheetId="455" r:id="rId26"/>
    <sheet name="Tab-27 PriorKey" sheetId="457" r:id="rId27"/>
    <sheet name="Tab-28 CashPlan" sheetId="460" r:id="rId28"/>
    <sheet name="Tab-29 TaxProvision" sheetId="458" r:id="rId29"/>
  </sheets>
  <externalReferences>
    <externalReference r:id="rId30"/>
  </externalReferences>
  <definedNames>
    <definedName name="_Dist_Bin" hidden="1">#REF!</definedName>
    <definedName name="_Dist_Values" hidden="1">#REF!</definedName>
    <definedName name="_Fill" localSheetId="26" hidden="1">#REF!</definedName>
    <definedName name="_Fill" hidden="1">#REF!</definedName>
    <definedName name="_Regression_Int" hidden="1">1</definedName>
    <definedName name="Abandonment">#REF!</definedName>
    <definedName name="acc.rec.lya">'Tab-16 Analysis'!$E$49</definedName>
    <definedName name="acc.rec.lyl">'Tab-16 Analysis'!$I$49</definedName>
    <definedName name="Accounts_receivable.cya">'Tab-16 Analysis'!$C$49</definedName>
    <definedName name="Actual.YTD">'Tab-16 Analysis'!$C$9:$C$134</definedName>
    <definedName name="Actual_average_direct_labor_rate_per_direct_hour">#REF!</definedName>
    <definedName name="Actual_net_revenue_per_direct_hour">#REF!</definedName>
    <definedName name="Actual_operating_profit_per_direct_hour_monthly">#REF!</definedName>
    <definedName name="Actual_overhead_expense_per_direct_hour_monthly">#REF!</definedName>
    <definedName name="Annual.Profit.Plan" localSheetId="15">'Tab-16 Analysis'!#REF!</definedName>
    <definedName name="Annual.Profit.Plan">[1]Analysis!#REF!</definedName>
    <definedName name="Annual_Base_Wage">#REF!</definedName>
    <definedName name="Annual_plan">#REF!</definedName>
    <definedName name="Annual_raise_percentage">'Tab-19 Formula Variables'!$B$14</definedName>
    <definedName name="ar.variance.lyv">'Tab-16 Analysis'!$H$49</definedName>
    <definedName name="Available_hours_less_PTO" localSheetId="21">#REF!</definedName>
    <definedName name="Available_hours_less_PTO" localSheetId="26">#REF!</definedName>
    <definedName name="Available_hours_less_PTO">#REF!</definedName>
    <definedName name="AvailHrs_LessPTO">#REF!</definedName>
    <definedName name="ave.labor.rate.cyl">'Tab-16 Analysis'!$G$91</definedName>
    <definedName name="ave.labor.rate.lyl">'Tab-16 Analysis'!$I$91</definedName>
    <definedName name="Ave_billing_rate_plan">'Tab 23 PlanAnalysis'!$D$15</definedName>
    <definedName name="Ave_direct_labor_rate_employee">'Tab-25 LaborSummary'!$J$8</definedName>
    <definedName name="Ave_direct_labor_rate_firmwide">'Tab-25 LaborSummary'!$J$10</definedName>
    <definedName name="Ave_direct_labor_rate_plan">'Tab 23 PlanAnalysis'!$D$16</definedName>
    <definedName name="Ave_direct_labor_rate_principal">'Tab-25 LaborSummary'!$J$7</definedName>
    <definedName name="Ave_labor_rate_employee">'Tab-25 LaborSummary'!$I$8</definedName>
    <definedName name="Ave_labor_rate_firmwide">'Tab-25 LaborSummary'!$I$10</definedName>
    <definedName name="Ave_labor_rate_principal">'Tab-25 LaborSummary'!$I$7</definedName>
    <definedName name="average.ot.cyl">'Tab-16 Analysis'!$G$61</definedName>
    <definedName name="average.ot.lyl">'Tab-16 Analysis'!$I$61</definedName>
    <definedName name="Average_direct_labor_rate.pdh.cya">'Tab-16 Analysis'!$C$91</definedName>
    <definedName name="Average_direct_labor_rate_per_direct_hour_monthly_plan">#REF!</definedName>
    <definedName name="Average_overtime_percentage_firmwide.cya">'Tab-16 Analysis'!$C$61</definedName>
    <definedName name="Benefits_factor">'Tab-26 Multiple_of_DPE'!$D$42</definedName>
    <definedName name="Benefits_multiplier">'Tab-19 Formula Variables'!$B$21</definedName>
    <definedName name="Billed_Fee_DPE_Hourly">#REF!</definedName>
    <definedName name="Billed_Fee_Extra_Service">#REF!</definedName>
    <definedName name="Billed_Fee_Lump_Sum">#REF!</definedName>
    <definedName name="Billing_Rate">#REF!</definedName>
    <definedName name="Bonus">#REF!</definedName>
    <definedName name="Bonus_FICA_MC">#REF!</definedName>
    <definedName name="Bonus_FICA_MC_total">#REF!</definedName>
    <definedName name="Bonus_percent_of_base_pay">'Tab-19 Formula Variables'!$B$11</definedName>
    <definedName name="Break_even.mdl.cya">'Tab-16 Analysis'!$C$110</definedName>
    <definedName name="Break_even.pdh.cya">'Tab-16 Analysis'!$C$93</definedName>
    <definedName name="Break_even_cya">'Tab-16 Analysis'!$C$42</definedName>
    <definedName name="breakeven.cyb">'Tab-16 Analysis'!$D$42</definedName>
    <definedName name="breakeven.cyl">'Tab-16 Analysis'!$G$93</definedName>
    <definedName name="breakeven.cyv">'Tab-16 Analysis'!$F$42</definedName>
    <definedName name="breakeven.lya">'Tab-16 Analysis'!$E$42</definedName>
    <definedName name="breakeven.lyl">'Tab-16 Analysis'!$I$93</definedName>
    <definedName name="breakeven.lyv">'Tab-16 Analysis'!$H$42</definedName>
    <definedName name="breakeven.mdl.cyl">'Tab-16 Analysis'!$G$110</definedName>
    <definedName name="breakeven.mdl.lyl">'Tab-16 Analysis'!$I$110</definedName>
    <definedName name="Breakeven_mult">'Tab 23 PlanAnalysis'!$E$18</definedName>
    <definedName name="Breakeven_per_dir_hour">'Tab 23 PlanAnalysis'!$D$18</definedName>
    <definedName name="Budget.YTD">'Tab-16 Analysis'!$D$9:$D$134</definedName>
    <definedName name="Calculated.planned.value.Net.Revenue">'Tab-16 Analysis'!$D$140</definedName>
    <definedName name="Calculated_Planned_Values.total.labor">'Tab-16 Analysis'!$C$140</definedName>
    <definedName name="cash.lya">'Tab-16 Analysis'!$E$48</definedName>
    <definedName name="cash.lyl">'Tab-16 Analysis'!$I$48</definedName>
    <definedName name="cash.lyv">'Tab-16 Analysis'!$H$48</definedName>
    <definedName name="Cash_balance.cya" localSheetId="15">'Tab-16 Analysis'!$C$48</definedName>
    <definedName name="Cash_balance.cya">[1]Analysis!$C$48</definedName>
    <definedName name="Cash_bonus_total">#REF!</definedName>
    <definedName name="Comp">#REF!</definedName>
    <definedName name="Contrib">#REF!</definedName>
    <definedName name="Current.YTD.Label">'Tab-16 Analysis'!$G$9:$G$156</definedName>
    <definedName name="Current_actual">#REF!</definedName>
    <definedName name="Current_actual_period">#REF!</definedName>
    <definedName name="Current_budget">#REF!</definedName>
    <definedName name="Currrent.YTD.Variance">'Tab-16 Analysis'!$F$9:$F$134</definedName>
    <definedName name="cyl.technical.direct">'Tab-16 Analysis'!$G$9</definedName>
    <definedName name="Depreciation">'Tab-28 CashPlan'!$B$15</definedName>
    <definedName name="Depreciation_Computer_Equipment">#REF!</definedName>
    <definedName name="Depreciation_Furn___Fixtures">#REF!</definedName>
    <definedName name="Depreciation_Leasehold_Improvements">#REF!</definedName>
    <definedName name="Depreciation_Software">#REF!</definedName>
    <definedName name="direct.labor.cyb">'Tab-16 Analysis'!$D$35</definedName>
    <definedName name="direct.labor.cyl">'Tab-16 Analysis'!$G$35</definedName>
    <definedName name="direct.labor.cyv">'Tab-16 Analysis'!$F$35</definedName>
    <definedName name="direct.labor.lya">'Tab-16 Analysis'!$E$35</definedName>
    <definedName name="direct.labor.lyl">'Tab-16 Analysis'!$I$35</definedName>
    <definedName name="direct.labor.lyv">'Tab-16 Analysis'!$H$35</definedName>
    <definedName name="Direct_hours_employee">#REF!</definedName>
    <definedName name="Direct_hours_firmwide" localSheetId="21">#REF!</definedName>
    <definedName name="Direct_hours_firmwide" localSheetId="26">#REF!</definedName>
    <definedName name="Direct_hours_firmwide">#REF!</definedName>
    <definedName name="Direct_hours_princpal">#REF!</definedName>
    <definedName name="Direct_Labor">#REF!</definedName>
    <definedName name="Direct_labor_employee">#REF!</definedName>
    <definedName name="Direct_labor_mult">'Tab 23 PlanAnalysis'!$E$16</definedName>
    <definedName name="Direct_labor_principal">#REF!</definedName>
    <definedName name="Direct_labor_total" localSheetId="21">#REF!</definedName>
    <definedName name="Direct_labor_total" localSheetId="26">#REF!</definedName>
    <definedName name="Direct_labor_total">#REF!</definedName>
    <definedName name="Disability">#REF!</definedName>
    <definedName name="Disability_ins_premium_per_M">'Tab-19 Formula Variables'!$B$10</definedName>
    <definedName name="Disability_ins_total">#REF!</definedName>
    <definedName name="dollars.over.90.cya">'Tab-16 Analysis'!$C$55</definedName>
    <definedName name="dollars.over.90.lya">'Tab-16 Analysis'!$E$55</definedName>
    <definedName name="DPE_factor">'Tab-26 Multiple_of_DPE'!$D$45</definedName>
    <definedName name="DPE_factor_plan">'Tab-19 Formula Variables'!$C$21</definedName>
    <definedName name="DPE_Rate">#REF!</definedName>
    <definedName name="Emp_Ins_Withheld">#REF!</definedName>
    <definedName name="Employee_Number">#REF!</definedName>
    <definedName name="Employee_totals">#REF!</definedName>
    <definedName name="Fed_Unemp">#REF!</definedName>
    <definedName name="Federal_unemployment_amount">'Tab-19 Formula Variables'!$B$7</definedName>
    <definedName name="Federal_unemployment_rate">'Tab-19 Formula Variables'!$B$6</definedName>
    <definedName name="Federal_unemployment_total">#REF!</definedName>
    <definedName name="FICA">#REF!</definedName>
    <definedName name="Fica_rate">'Tab-19 Formula Variables'!$B$17</definedName>
    <definedName name="FICA_total">#REF!</definedName>
    <definedName name="Fica_wages">'Tab-19 Formula Variables'!$B$16</definedName>
    <definedName name="Firm_wide_dollars.cya">'Tab-16 Analysis'!$C$83</definedName>
    <definedName name="Firm_wide_standard_hours.cya">'Tab-16 Analysis'!$C$84</definedName>
    <definedName name="Firm_wide_total_hours.cya">'Tab-16 Analysis'!$C$85</definedName>
    <definedName name="FTE_Overtime.cya">'Tab-16 Analysis'!$C$78</definedName>
    <definedName name="FTE_Regular.cya">'Tab-16 Analysis'!$C$77</definedName>
    <definedName name="FTE_Total_Technical">'Tab-24 TimeAnalysis'!$F$9</definedName>
    <definedName name="FTE_Total_technical_and_nontechnical">'Tab-24 TimeAnalysis'!$F$13</definedName>
    <definedName name="Health_Ins">#REF!</definedName>
    <definedName name="Health_ins_total">#REF!</definedName>
    <definedName name="Holiday">#REF!</definedName>
    <definedName name="Holiday_Hrs">#REF!</definedName>
    <definedName name="HTML1_1" hidden="1">"[REPORT.XLS]Report!$B$285:$I$297"</definedName>
    <definedName name="HTML1_10" hidden="1">""</definedName>
    <definedName name="HTML1_11" hidden="1">1</definedName>
    <definedName name="HTML1_12" hidden="1">"C:\My Documents\APLUS96\MyHTML.htm"</definedName>
    <definedName name="HTML1_2" hidden="1">1</definedName>
    <definedName name="HTML1_3" hidden="1">"REPORT"</definedName>
    <definedName name="HTML1_4" hidden="1">"Report"</definedName>
    <definedName name="HTML1_5" hidden="1">""</definedName>
    <definedName name="HTML1_6" hidden="1">-4146</definedName>
    <definedName name="HTML1_7" hidden="1">1</definedName>
    <definedName name="HTML1_8" hidden="1">"3/13/96"</definedName>
    <definedName name="HTML1_9" hidden="1">"John M. Burson"</definedName>
    <definedName name="HTML2_1" hidden="1">"[REPORT.XLS]Report!$A$300:$I$303"</definedName>
    <definedName name="HTML2_10" hidden="1">""</definedName>
    <definedName name="HTML2_11" hidden="1">-4146</definedName>
    <definedName name="HTML2_12" hidden="1">"C:\My Documents\APLUS96\MyHTML2.htm"</definedName>
    <definedName name="HTML2_2" hidden="1">1</definedName>
    <definedName name="HTML2_3" hidden="1">"REPORT"</definedName>
    <definedName name="HTML2_4" hidden="1">"Report"</definedName>
    <definedName name="HTML2_5" hidden="1">""</definedName>
    <definedName name="HTML2_6" hidden="1">1</definedName>
    <definedName name="HTML2_7" hidden="1">-4146</definedName>
    <definedName name="HTML2_8" hidden="1">"3/13/96"</definedName>
    <definedName name="HTML2_9" hidden="1">"John M. Burson"</definedName>
    <definedName name="HTMLCount" hidden="1">2</definedName>
    <definedName name="incirect.labor.cyl">'Tab-16 Analysis'!$G$39</definedName>
    <definedName name="Increase_in_net_worth">'Tab-20 ProfitTarget'!$C$5</definedName>
    <definedName name="indirect.labor.cyb">'Tab-16 Analysis'!$D$39</definedName>
    <definedName name="indirect.labor.cyv">'Tab-16 Analysis'!$F$39</definedName>
    <definedName name="indirect.labor.lya">'Tab-16 Analysis'!$E$39</definedName>
    <definedName name="indirect.labor.lyl">'Tab-16 Analysis'!$I$39</definedName>
    <definedName name="indirect.labor.lyv">'Tab-16 Analysis'!$H$39</definedName>
    <definedName name="Interest_income">'Tab-20 ProfitTarget'!$C$15</definedName>
    <definedName name="labor.pct.net.rev.cyl">'Tab-16 Analysis'!$G$102</definedName>
    <definedName name="labor.pct.net.rev.lyl">'Tab-16 Analysis'!$I$102</definedName>
    <definedName name="Labor_percentage_of_net_revenue">'Tab 23 PlanAnalysis'!$B$50</definedName>
    <definedName name="Labor_percentage_of_net_revenue.cya">'Tab-16 Analysis'!$C$102</definedName>
    <definedName name="Last.YTD">'Tab-16 Analysis'!$E$9:$E$134</definedName>
    <definedName name="Last.YTD.Label">'Tab-16 Analysis'!$I$9:$I$156</definedName>
    <definedName name="Last.YTD.Variance">'Tab-16 Analysis'!$H$9:$H$134</definedName>
    <definedName name="LB_Direct_Labor_Principals">#REF!</definedName>
    <definedName name="LB_GrandTotal">#REF!</definedName>
    <definedName name="less">'Tab-16 Analysis'!$C$9:$I$9</definedName>
    <definedName name="Less__Total_direct_expense__including_direct_labor.cya">'Tab-16 Analysis'!$C$33</definedName>
    <definedName name="Less__Total_reimbursable_expense.cya">'Tab-16 Analysis'!$C$32</definedName>
    <definedName name="lyl.technical.direct">'Tab-16 Analysis'!$I$9</definedName>
    <definedName name="Markup_other_reimb_expense">'Tab-19 Formula Variables'!$B$27</definedName>
    <definedName name="Markup_reimb_consultant">'Tab-19 Formula Variables'!$B$26</definedName>
    <definedName name="Medicare">#REF!</definedName>
    <definedName name="Medicare_rate">'Tab-19 Formula Variables'!$B$19</definedName>
    <definedName name="Medicare_total">#REF!</definedName>
    <definedName name="Medicare_wages">'Tab-19 Formula Variables'!$B$18</definedName>
    <definedName name="Mo_Health_Ins">#REF!</definedName>
    <definedName name="Monthly.Objective" localSheetId="15">'Tab-16 Analysis'!#REF!</definedName>
    <definedName name="Monthly.Objective">[1]Analysis!#REF!</definedName>
    <definedName name="Multiple_of_DPE">'Tab-19 Formula Variables'!$B$22</definedName>
    <definedName name="Multiple_of_DPE_plan">'Tab-19 Formula Variables'!$C$22</definedName>
    <definedName name="net.rev.cyl">'Tab-16 Analysis'!$G$90</definedName>
    <definedName name="net.rev.cyv">'Tab-16 Analysis'!$F$36</definedName>
    <definedName name="net.rev.fte.cyl">'Tab-16 Analysis'!$G$114</definedName>
    <definedName name="net.rev.fte.lyl">'Tab-16 Analysis'!$I$114</definedName>
    <definedName name="net.rev.lya">'Tab-16 Analysis'!$E$36</definedName>
    <definedName name="net.rev.lyl">'Tab-16 Analysis'!$I$90</definedName>
    <definedName name="net.rev.mdl.cyl">'Tab-16 Analysis'!$G$107</definedName>
    <definedName name="net.rev.mdl.lyl">'Tab-16 Analysis'!$I$107</definedName>
    <definedName name="net.rev.tech.cyl">'Tab-16 Analysis'!$G$115</definedName>
    <definedName name="net.rev.tech.lyl">'Tab-16 Analysis'!$I$115</definedName>
    <definedName name="net.revenue.cyb">'Tab-16 Analysis'!$D$36</definedName>
    <definedName name="net.revenue.cyl">'Tab-16 Analysis'!$G$36</definedName>
    <definedName name="net.revenue.lyv">'Tab-16 Analysis'!$H$36</definedName>
    <definedName name="Net.revenue.variance.cyv">'Tab-16 Analysis'!$G$133</definedName>
    <definedName name="Net.RevenueTechnical_staff.cya">'Tab-16 Analysis'!$C$115</definedName>
    <definedName name="net.variance.direct.labor">'Tab-16 Analysis'!$D$156</definedName>
    <definedName name="net.variance.profit">'Tab-16 Analysis'!$F$156</definedName>
    <definedName name="Net_multiplier">'Tab-19 Formula Variables'!$B$20</definedName>
    <definedName name="Net_multiplier_plan">'Tab 23 PlanAnalysis'!$E$15</definedName>
    <definedName name="Net_revenue">#REF!</definedName>
    <definedName name="Net_revenue.cya">'Tab-16 Analysis'!$C$36</definedName>
    <definedName name="Net_revenue.mdl.cya">'Tab-16 Analysis'!$C$107</definedName>
    <definedName name="Net_revenue.pdh.cya">'Tab-16 Analysis'!$C$90</definedName>
    <definedName name="Net_Revenue.Total_staff.cya">'Tab-16 Analysis'!$C$114</definedName>
    <definedName name="Net_revenue_per_direct_hour_monthly_plan">#REF!</definedName>
    <definedName name="Net_revenue_plan">'Tab 23 PlanAnalysis'!$B$15</definedName>
    <definedName name="Net_Variance_net.rev">'Tab-16 Analysis'!$C$156</definedName>
    <definedName name="No._months_raise_effective">'Tab-19 Formula Variables'!$B$15</definedName>
    <definedName name="Non_technical_indirect">'Tab-16 Analysis'!$C$13:$J$13</definedName>
    <definedName name="Non_technical_indirect_PTO">'Tab-16 Analysis'!$C$14:$J$14</definedName>
    <definedName name="Non_technical_OT.current.ytd.actual">'Tab-16 Analysis'!$C$24</definedName>
    <definedName name="nontech.fte.cyl">'Tab-16 Analysis'!$G$70</definedName>
    <definedName name="nontech.fte.lyl">'Tab-16 Analysis'!$I$70</definedName>
    <definedName name="nontech.ot.cyl">'Tab-16 Analysis'!$G$60</definedName>
    <definedName name="nontech.ot.lyl">'Tab-16 Analysis'!$I$60</definedName>
    <definedName name="NonTech_indirect_labor">#REF!</definedName>
    <definedName name="NonTech_indirect_labor_total" localSheetId="21">#REF!</definedName>
    <definedName name="NonTech_indirect_labor_total" localSheetId="26">#REF!</definedName>
    <definedName name="NonTech_indirect_labor_total">#REF!</definedName>
    <definedName name="NonTech_indirect_pto_labor" localSheetId="21">#REF!</definedName>
    <definedName name="NonTech_indirect_pto_labor" localSheetId="26">#REF!</definedName>
    <definedName name="NonTech_indirect_pto_labor">#REF!</definedName>
    <definedName name="NonTech_IndLabor">#REF!</definedName>
    <definedName name="NonTechnical.ot.pct.cya">'Tab-16 Analysis'!$C$60</definedName>
    <definedName name="NonTechnical_indirect_hours_monthly">#REF!</definedName>
    <definedName name="NonTechnical_indirect_hours_total" localSheetId="21">#REF!</definedName>
    <definedName name="NonTechnical_indirect_hours_total" localSheetId="26">#REF!</definedName>
    <definedName name="NonTechnical_indirect_hours_total">#REF!</definedName>
    <definedName name="NonTechnical_indirect_PTO_hours" localSheetId="21">#REF!</definedName>
    <definedName name="NonTechnical_indirect_PTO_hours" localSheetId="26">#REF!</definedName>
    <definedName name="NonTechnical_indirect_PTO_hours">#REF!</definedName>
    <definedName name="Ohead_per_dir_hour">'Tab 23 PlanAnalysis'!$D$17</definedName>
    <definedName name="Operating_Profit">#REF!</definedName>
    <definedName name="Operating_profit.mdl.cya">'Tab-16 Analysis'!$C$111</definedName>
    <definedName name="Operating_profit.pdh.cya">'Tab-16 Analysis'!$C$94</definedName>
    <definedName name="Operating_Profit___Percentage_of_Net_Revenue.cya">'Tab-16 Analysis'!$C$44</definedName>
    <definedName name="Operating_profit_cya">'Tab-16 Analysis'!$C$43</definedName>
    <definedName name="Operating_profit_multiple_of_direct_labor">'Tab 23 PlanAnalysis'!$E$20</definedName>
    <definedName name="Operating_profit_per_dir_hour">'Tab 23 PlanAnalysis'!$D$20</definedName>
    <definedName name="Operating_profit_per_direct_hour_monthly_plan">#REF!</definedName>
    <definedName name="Operating_profit_percentage_of_net_revenue">'Tab 23 PlanAnalysis'!$G$20</definedName>
    <definedName name="Operating_profit_percentage_of_total_revenue">'Tab 23 PlanAnalysis'!$H$20</definedName>
    <definedName name="Operating_profit_plan">'Tab 23 PlanAnalysis'!$B$20</definedName>
    <definedName name="Operating_profit_target">'Tab-20 ProfitTarget'!$C$22</definedName>
    <definedName name="Other_Benefits">#REF!</definedName>
    <definedName name="Other_benefits_total">#REF!</definedName>
    <definedName name="Other_miscellaneous_income">'Tab-20 ProfitTarget'!$C$16</definedName>
    <definedName name="Other_Operating_Income">#REF!</definedName>
    <definedName name="Other_reimbursable__expense_multiple">'Tab-19 Formula Variables'!$B$27</definedName>
    <definedName name="over.90.cya">'Tab-16 Analysis'!$D$55</definedName>
    <definedName name="over.90.cyl">'Tab-16 Analysis'!$G$55</definedName>
    <definedName name="over.90.lyl">'Tab-16 Analysis'!$I$55</definedName>
    <definedName name="overhead.cyb">'Tab-16 Analysis'!$D$41</definedName>
    <definedName name="overhead.cyl">'Tab-16 Analysis'!$G$92</definedName>
    <definedName name="overhead.cyv">'Tab-16 Analysis'!$F$41</definedName>
    <definedName name="overhead.lya">'Tab-16 Analysis'!$E$41</definedName>
    <definedName name="overhead.lyl">'Tab-16 Analysis'!$I$92</definedName>
    <definedName name="overhead.lyv">'Tab-16 Analysis'!$H$41</definedName>
    <definedName name="overhead.mdl.cyl">'Tab-16 Analysis'!$G$109</definedName>
    <definedName name="overhead.mdl.lyl">'Tab-16 Analysis'!$I$109</definedName>
    <definedName name="overhead.net.variance">'Tab-16 Analysis'!$E$156</definedName>
    <definedName name="Overhead_expense.pdh.cya">'Tab-16 Analysis'!$C$92</definedName>
    <definedName name="Overhead_expense_per_direct_hour_monthly_plan">#REF!</definedName>
    <definedName name="Overhead_rate.mdl.cya">'Tab-16 Analysis'!$C$109</definedName>
    <definedName name="Overhead_rate_plan">'Tab 23 PlanAnalysis'!$E$17</definedName>
    <definedName name="Paid_time_off_hours_monthly">#REF!</definedName>
    <definedName name="Paid_time_off_hours_total" localSheetId="21">#REF!</definedName>
    <definedName name="Paid_time_off_hours_total" localSheetId="26">#REF!</definedName>
    <definedName name="Paid_time_off_hours_total">#REF!</definedName>
    <definedName name="Payroll_data">#REF!</definedName>
    <definedName name="pct.over.90.lya">'Tab-16 Analysis'!$F$55</definedName>
    <definedName name="Period.ending.date">'Tab-16 Analysis'!$D$27</definedName>
    <definedName name="Period_No.">'Tab-16 Analysis'!$D$29</definedName>
    <definedName name="Personal">#REF!</definedName>
    <definedName name="Personal_Hrs">#REF!</definedName>
    <definedName name="Plan_Contribution">#REF!</definedName>
    <definedName name="Plan95">#REF!</definedName>
    <definedName name="PlanAmount">#REF!</definedName>
    <definedName name="Plus__Direct_labor.cya">'Tab-16 Analysis'!$C$35</definedName>
    <definedName name="price.variance.dir.labor">'Tab-16 Analysis'!$D$147</definedName>
    <definedName name="price.variance.overhead">'Tab-16 Analysis'!$E$147</definedName>
    <definedName name="price.variance.profit">'Tab-16 Analysis'!$F$147</definedName>
    <definedName name="Price_Variance.net.rev">'Tab-16 Analysis'!$C$147</definedName>
    <definedName name="Principal_totals">#REF!</definedName>
    <definedName name="Principals__return_on_investment">'Tab-20 ProfitTarget'!$C$6</definedName>
    <definedName name="_xlnm.Print_Area" localSheetId="22">'Tab 23 PlanAnalysis'!$A$1:$J$53</definedName>
    <definedName name="_xlnm.Print_Area" localSheetId="13">'Tab-14 CurrentData'!$A$1:$R$156</definedName>
    <definedName name="_xlnm.Print_Area" localSheetId="15">'Tab-16 Analysis'!$A$1:$M$158</definedName>
    <definedName name="_xlnm.Print_Area" localSheetId="18">'Tab-19 Formula Variables'!$A$4:$C$27</definedName>
    <definedName name="_xlnm.Print_Area" localSheetId="20">'Tab-21 Labor Budget'!$A$1:$BK$43</definedName>
    <definedName name="_xlnm.Print_Area" localSheetId="21">'Tab-22 ProfitPlan'!$A$1:$K$349</definedName>
    <definedName name="_xlnm.Print_Area" localSheetId="23">'Tab-24 TimeAnalysis'!$A$4:$F$25</definedName>
    <definedName name="_xlnm.Print_Area" localSheetId="24">'Tab-25 LaborSummary'!$A$4:$L$11</definedName>
    <definedName name="_xlnm.Print_Area" localSheetId="25">'Tab-26 Multiple_of_DPE'!$A$4:$E$46</definedName>
    <definedName name="_xlnm.Print_Area" localSheetId="26">'Tab-27 PriorKey'!$A$1:$M$592</definedName>
    <definedName name="_xlnm.Print_Area" localSheetId="27">'Tab-28 CashPlan'!$A$2:$O$41</definedName>
    <definedName name="_xlnm.Print_Titles" localSheetId="13">'Tab-14 CurrentData'!$1:$7</definedName>
    <definedName name="_xlnm.Print_Titles" localSheetId="14">'Tab-15 PriorData'!$1:$6</definedName>
    <definedName name="_xlnm.Print_Titles" localSheetId="15">'Tab-16 Analysis'!$1:$7</definedName>
    <definedName name="_xlnm.Print_Titles" localSheetId="20">'Tab-21 Labor Budget'!$A:$B</definedName>
    <definedName name="_xlnm.Print_Titles" localSheetId="21">'Tab-22 ProfitPlan'!$1:$8</definedName>
    <definedName name="_xlnm.Print_Titles" localSheetId="26">'Tab-27 PriorKey'!$1:$8</definedName>
    <definedName name="_xlnm.Print_Titles">#REF!</definedName>
    <definedName name="profit.cyb">'Tab-16 Analysis'!$D$43</definedName>
    <definedName name="profit.cyl">'Tab-16 Analysis'!$G$94</definedName>
    <definedName name="profit.cyv">'Tab-16 Analysis'!$F$43</definedName>
    <definedName name="profit.fte.cyl">'Tab-16 Analysis'!$G$118</definedName>
    <definedName name="profit.fte.lyl">'Tab-16 Analysis'!$I$118</definedName>
    <definedName name="profit.lya">'Tab-16 Analysis'!$E$43</definedName>
    <definedName name="profit.lyl">'Tab-16 Analysis'!$I$94</definedName>
    <definedName name="profit.lyv">'Tab-16 Analysis'!$H$43</definedName>
    <definedName name="profit.mdl.cyl">'Tab-16 Analysis'!$G$111</definedName>
    <definedName name="profit.mdl.lyl">'Tab-16 Analysis'!$I$111</definedName>
    <definedName name="profit.pct.cyv">'Tab-16 Analysis'!$F$44</definedName>
    <definedName name="profit.pct.net.rev.cyb">'Tab-16 Analysis'!$D$44</definedName>
    <definedName name="profit.pct.net.rev.cyl">'Tab-16 Analysis'!$G$44</definedName>
    <definedName name="profit.pct.net.rev.lya">'Tab-16 Analysis'!$E$44</definedName>
    <definedName name="profit.pct.net.rev.lyl">'Tab-16 Analysis'!$I$44</definedName>
    <definedName name="profit.pct.net.rev.lyv">'Tab-16 Analysis'!$H$44</definedName>
    <definedName name="profit.tech.cyl">'Tab-16 Analysis'!$G$119</definedName>
    <definedName name="profit.tech.lyl">'Tab-16 Analysis'!$I$119</definedName>
    <definedName name="Profit.Technical_staff.cya">'Tab-16 Analysis'!$C$119</definedName>
    <definedName name="Profit.Total_staff.cya">'Tab-16 Analysis'!$C$118</definedName>
    <definedName name="Profit_sharing_plan_total">#REF!</definedName>
    <definedName name="ProfitPlan_AccountNames">#REF!</definedName>
    <definedName name="PTO_holiday">#REF!</definedName>
    <definedName name="PTO_personal">#REF!</definedName>
    <definedName name="PTO_vacation">#REF!</definedName>
    <definedName name="Raises">#REF!</definedName>
    <definedName name="Rate">#REF!</definedName>
    <definedName name="ratio.tech.nontech.cyl">'Tab-16 Analysis'!$G$73</definedName>
    <definedName name="ratio.tech.nontech.lyl">'Tab-16 Analysis'!$I$73</definedName>
    <definedName name="Ratio__Technical_NonTechnical.cya">'Tab-16 Analysis'!$C$73</definedName>
    <definedName name="Recovery_of_bad_debt_write_off">'Tab-20 ProfitTarget'!$C$18</definedName>
    <definedName name="Reimbursable_consultant_multiple">'Tab-19 Formula Variables'!$B$26</definedName>
    <definedName name="Report_Total_billed_fee">#REF!</definedName>
    <definedName name="Retirement_plan_contribution_percent_of_base_pay">'Tab-19 Formula Variables'!$B$12</definedName>
    <definedName name="Retirement_plan_contribution_total">#REF!</definedName>
    <definedName name="rev.factor.cyl">'Tab-16 Analysis'!$G$122</definedName>
    <definedName name="rev.factor.lyl">'Tab-16 Analysis'!$I$122</definedName>
    <definedName name="Revenue_factor.cya">'Tab-16 Analysis'!$C$122</definedName>
    <definedName name="Revenue_Factor_Target">'Tab 23 PlanAnalysis'!$B$40</definedName>
    <definedName name="Revenue_less_reimbursable__expense">#REF!</definedName>
    <definedName name="Sale_of_assets_gain_or__loss">'Tab-20 ProfitTarget'!$C$17</definedName>
    <definedName name="St_Unemp">#REF!</definedName>
    <definedName name="Standard_hours">'Tab-19 Formula Variables'!$B$13</definedName>
    <definedName name="Standard_hours.current.ytd.actual">'Tab-16 Analysis'!$C$19</definedName>
    <definedName name="Standard_hours_monthly_plan">#REF!</definedName>
    <definedName name="Standard_Hrs">#REF!</definedName>
    <definedName name="State_umemployment_total">#REF!</definedName>
    <definedName name="State_unemployment_amount">'Tab-19 Formula Variables'!$B$9</definedName>
    <definedName name="State_unemployment_rate">'Tab-19 Formula Variables'!$B$8</definedName>
    <definedName name="Subtotal_Indirect_Labor.cya">'Tab-16 Analysis'!$C$39</definedName>
    <definedName name="tech.direct.lyv">'Tab-16 Analysis'!$H$9</definedName>
    <definedName name="tech.ot.cyl">'Tab-16 Analysis'!$G$59</definedName>
    <definedName name="tech.ot.lyl">'Tab-16 Analysis'!$I$59</definedName>
    <definedName name="tech.ot.pct.cya">'Tab-16 Analysis'!$C$59</definedName>
    <definedName name="Tech_Direct_hrs">#REF!</definedName>
    <definedName name="Tech_direct_hrs_total">'Tab-24 TimeAnalysis'!$D$6</definedName>
    <definedName name="Tech_Indirect_hrs">#REF!</definedName>
    <definedName name="Tech_indirect_PTO" localSheetId="21">#REF!</definedName>
    <definedName name="Tech_indirect_PTO" localSheetId="26">#REF!</definedName>
    <definedName name="Tech_indirect_PTO">#REF!</definedName>
    <definedName name="Tech_IndLabor">#REF!</definedName>
    <definedName name="Technical.direct.Actual.YTD">'Tab-16 Analysis'!$C$9</definedName>
    <definedName name="Technical.direct.Budget.YTD">'Tab-16 Analysis'!$D$9</definedName>
    <definedName name="technical.direct.current.ytd.variance">'Tab-16 Analysis'!$F$9</definedName>
    <definedName name="technical.direct.cyb">'Tab-16 Analysis'!$D$9</definedName>
    <definedName name="Technical.direct.Last.YTD">'Tab-16 Analysis'!$E$9</definedName>
    <definedName name="technical.indirect.pto.current.ytd.variance">'Tab-16 Analysis'!$F$11</definedName>
    <definedName name="technical.indirectcurrent.ytd.variance">'Tab-16 Analysis'!$F$10</definedName>
    <definedName name="technical.ot.cyl">'Tab-16 Analysis'!$G$23</definedName>
    <definedName name="Technical_direct">'Tab-16 Analysis'!$C$9:$O$9</definedName>
    <definedName name="Technical_direct_and_indirect_hours_total" localSheetId="21">#REF!</definedName>
    <definedName name="Technical_direct_and_indirect_hours_total" localSheetId="26">#REF!</definedName>
    <definedName name="Technical_direct_and_indirect_hours_total">#REF!</definedName>
    <definedName name="Technical_direct_hours_actual">#REF!</definedName>
    <definedName name="Technical_direct_hours_monthly">#REF!</definedName>
    <definedName name="Technical_indirect">'Tab-16 Analysis'!$C$10:$J$10</definedName>
    <definedName name="Technical_indirect_hours" localSheetId="21">#REF!</definedName>
    <definedName name="Technical_indirect_hours" localSheetId="26">#REF!</definedName>
    <definedName name="Technical_indirect_hours">#REF!</definedName>
    <definedName name="technical_indirect_hours_firmwide_total" localSheetId="21">#REF!</definedName>
    <definedName name="technical_indirect_hours_firmwide_total" localSheetId="26">#REF!</definedName>
    <definedName name="technical_indirect_hours_firmwide_total">#REF!</definedName>
    <definedName name="Technical_indirect_hours_monthly">#REF!</definedName>
    <definedName name="Technical_indirect_labor_total" localSheetId="21">#REF!</definedName>
    <definedName name="Technical_indirect_labor_total" localSheetId="26">#REF!</definedName>
    <definedName name="Technical_indirect_labor_total">#REF!</definedName>
    <definedName name="Technical_indirect_PTO">'Tab-16 Analysis'!$C$11:$J$11</definedName>
    <definedName name="technical_indirect_pto_hours" localSheetId="21">#REF!</definedName>
    <definedName name="technical_indirect_pto_hours" localSheetId="26">#REF!</definedName>
    <definedName name="technical_indirect_pto_hours">#REF!</definedName>
    <definedName name="Technical_only_hours.cya">'Tab-16 Analysis'!$C$86</definedName>
    <definedName name="Technical_OT.current.ytd.actual">'Tab-16 Analysis'!$C$23</definedName>
    <definedName name="Technical_overtime_FTE.cya">'Tab-16 Analysis'!$C$66</definedName>
    <definedName name="Technical_regular_FTE.cya">'Tab-16 Analysis'!$C$65</definedName>
    <definedName name="Technical_staff_net_rev_fte">'Tab 23 PlanAnalysis'!$B$31</definedName>
    <definedName name="Technical_staff_profit_fte">'Tab 23 PlanAnalysis'!$B$37</definedName>
    <definedName name="total.fte.cyl">'Tab-16 Analysis'!$G$71</definedName>
    <definedName name="total.fte.lyl">'Tab-16 Analysis'!$I$71</definedName>
    <definedName name="total.labor.cyl">'Tab-16 Analysis'!$G$100</definedName>
    <definedName name="total.labor.lyl">'Tab-16 Analysis'!$I$100</definedName>
    <definedName name="Total.labor.variance.cyv">'Tab-16 Analysis'!$G$134</definedName>
    <definedName name="total.ot.cyl">'Tab-16 Analysis'!$G$25</definedName>
    <definedName name="total.ot.lyl">'Tab-16 Analysis'!$I$25</definedName>
    <definedName name="total.rev.cyl">'Tab-16 Analysis'!$G$31</definedName>
    <definedName name="total.rev.cyv">'Tab-16 Analysis'!$F$31</definedName>
    <definedName name="total.rev.lya">'Tab-16 Analysis'!$E$31</definedName>
    <definedName name="total.rev.lyl">'Tab-16 Analysis'!$I$31</definedName>
    <definedName name="total.rev.lyv">'Tab-16 Analysis'!$H$31</definedName>
    <definedName name="total.rev.pct.net.rev.cyv">'Tab-16 Analysis'!$F$30</definedName>
    <definedName name="total.revenue.cyb">'Tab-16 Analysis'!$D$31</definedName>
    <definedName name="total.revenue.pct.net.rev.cyl">'Tab-16 Analysis'!$G$30</definedName>
    <definedName name="total.revenue.pct.net.revenue.cyb">'Tab-16 Analysis'!$D$30</definedName>
    <definedName name="total.tech.fte.cyl">'Tab-16 Analysis'!$G$67</definedName>
    <definedName name="total.tech.fte.lyl">'Tab-16 Analysis'!$I$67</definedName>
    <definedName name="total.techncial.nontechnical.lyl">'Tab-16 Analysis'!$I$17</definedName>
    <definedName name="total.technical.nontechnical.cyl">'Tab-16 Analysis'!$G$17</definedName>
    <definedName name="Total_Available_hrs">#REF!</definedName>
    <definedName name="Total_benefits" localSheetId="21">'Tab-22 ProfitPlan'!$C$188</definedName>
    <definedName name="Total_benefits">#REF!</definedName>
    <definedName name="Total_Billed_Fee">#REF!</definedName>
    <definedName name="Total_Direct_Consultants">#REF!</definedName>
    <definedName name="Total_direct_consultants_and_other">#REF!</definedName>
    <definedName name="Total_direct_expense">#REF!</definedName>
    <definedName name="Total_direct_labor">#REF!</definedName>
    <definedName name="Total_employee_wages">#REF!</definedName>
    <definedName name="Total_federal_and_state_income_tax_provision">'Tab-29 TaxProvision'!$F$32</definedName>
    <definedName name="Total_FTE.cya">'Tab-16 Analysis'!$C$71</definedName>
    <definedName name="Total_hours_employee">#REF!</definedName>
    <definedName name="Total_hours_firmwide" localSheetId="21">#REF!</definedName>
    <definedName name="Total_hours_firmwide" localSheetId="26">#REF!</definedName>
    <definedName name="Total_hours_firmwide">#REF!</definedName>
    <definedName name="Total_hours_less_paid_time_off_monthly">#REF!</definedName>
    <definedName name="Total_hours_principal">#REF!</definedName>
    <definedName name="Total_Indirect">#REF!</definedName>
    <definedName name="Total_indirect_labor">#REF!</definedName>
    <definedName name="Total_Labor.cya">'Tab-16 Analysis'!$C$100</definedName>
    <definedName name="Total_multiplier_plan">'Tab 23 PlanAnalysis'!$E$11</definedName>
    <definedName name="Total_nontech_hours" localSheetId="21">#REF!</definedName>
    <definedName name="Total_nontech_hours" localSheetId="26">#REF!</definedName>
    <definedName name="Total_nontech_hours">#REF!</definedName>
    <definedName name="Total_NonTech_hrs">#REF!</definedName>
    <definedName name="Total_NonTech_indirect_labor">#REF!</definedName>
    <definedName name="Total_nontechnical">'Tab-16 Analysis'!$C$15:$J$15</definedName>
    <definedName name="Total_other_direct">#REF!</definedName>
    <definedName name="Total_Other_Indirect">#REF!</definedName>
    <definedName name="Total_other_nonoperating_revenue">'Tab-20 ProfitTarget'!$C$21</definedName>
    <definedName name="Total_Overhead_expense.cya">'Tab-16 Analysis'!$C$41</definedName>
    <definedName name="Total_overtime.current.ytd.actual">'Tab-16 Analysis'!$C$25</definedName>
    <definedName name="Total_paid_time_off">#REF!</definedName>
    <definedName name="Total_payroll_related_expense">#REF!</definedName>
    <definedName name="Total_principal_hours">'Tab-25 LaborSummary'!$D$7</definedName>
    <definedName name="Total_principal_wages">#REF!</definedName>
    <definedName name="Total_profit">'Tab-20 ProfitTarget'!$C$12</definedName>
    <definedName name="Total_PTO" localSheetId="21">#REF!</definedName>
    <definedName name="Total_PTO" localSheetId="26">#REF!</definedName>
    <definedName name="Total_PTO">#REF!</definedName>
    <definedName name="Total_PTO_hours">#REF!</definedName>
    <definedName name="Total_PTO_hrs">#REF!</definedName>
    <definedName name="Total_reimbursable_expense">#REF!</definedName>
    <definedName name="Total_reimbursable_expense_revenue">#REF!</definedName>
    <definedName name="Total_revenue">#REF!</definedName>
    <definedName name="Total_revenue.cya">'Tab-16 Analysis'!$C$31</definedName>
    <definedName name="Total_Revenue___Percentage_of_Net_Revenue.cya">'Tab-16 Analysis'!$C$30</definedName>
    <definedName name="Total_staff_net_rev_fte">'Tab 23 PlanAnalysis'!$B$30</definedName>
    <definedName name="Total_staff_profit_fte">'Tab 23 PlanAnalysis'!$B$36</definedName>
    <definedName name="Total_Tech_hrs">#REF!</definedName>
    <definedName name="Total_technical" localSheetId="23">'Tab-24 TimeAnalysis'!$B$9:$F$9</definedName>
    <definedName name="Total_technical">'Tab-16 Analysis'!$C$12:$J$12</definedName>
    <definedName name="Total_technical_and_nontechnical_hours_monthly">#REF!</definedName>
    <definedName name="Total_technical_FTE.cya">'Tab-16 Analysis'!$C$67</definedName>
    <definedName name="Total_technical_hours_monthly">#REF!</definedName>
    <definedName name="Total_technical_labor" localSheetId="21">#REF!</definedName>
    <definedName name="Total_technical_labor" localSheetId="26">#REF!</definedName>
    <definedName name="Total_technical_labor">#REF!</definedName>
    <definedName name="Total_technical2">#REF!</definedName>
    <definedName name="Total_Wage">#REF!</definedName>
    <definedName name="Total_wages_employee">#REF!</definedName>
    <definedName name="Total_wages_firmwide" localSheetId="21">#REF!</definedName>
    <definedName name="Total_wages_firmwide" localSheetId="26">#REF!</definedName>
    <definedName name="Total_wages_firmwide">#REF!</definedName>
    <definedName name="Total_wages_for_hours_worked">'Tab-26 Multiple_of_DPE'!$D$16</definedName>
    <definedName name="Total_wages_less_PTO" localSheetId="21">#REF!</definedName>
    <definedName name="Total_wages_less_PTO" localSheetId="26">#REF!</definedName>
    <definedName name="Total_wages_less_PTO">#REF!</definedName>
    <definedName name="Total_wages_principal">#REF!</definedName>
    <definedName name="Type">#REF!</definedName>
    <definedName name="Unbilled_Revenue_WIP">#REF!</definedName>
    <definedName name="Utilization">#REF!</definedName>
    <definedName name="utilization.dollars.cyl">'Tab-16 Analysis'!$G$83</definedName>
    <definedName name="utilization.dollars.lyl">'Tab-16 Analysis'!$I$83</definedName>
    <definedName name="Utilization.Firmwide.Dollars">'Tab-16 Analysis'!$J$83</definedName>
    <definedName name="utilization.standard.cyl">'Tab-16 Analysis'!$G$84</definedName>
    <definedName name="utilization.standard.lyl">'Tab-16 Analysis'!$I$84</definedName>
    <definedName name="utilization.tech.hours.cyl">'Tab-16 Analysis'!$G$86</definedName>
    <definedName name="utilization.tech.hours.yly">'Tab-16 Analysis'!$I$86</definedName>
    <definedName name="utilization.total.hours.cyl">'Tab-16 Analysis'!$G$85</definedName>
    <definedName name="utilization.total.hours.lyl">'Tab-16 Analysis'!$I$85</definedName>
    <definedName name="Utilization_rate_firmwide_dollars_plan">'Tab-24 TimeAnalysis'!$B$22</definedName>
    <definedName name="Utilization_rate_firmwide_hours_plan">'Tab-24 TimeAnalysis'!$D$22</definedName>
    <definedName name="Vacation">#REF!</definedName>
    <definedName name="Vacation_Hrs">#REF!</definedName>
    <definedName name="volume.variance.dir.labor">'Tab-16 Analysis'!$D$152</definedName>
    <definedName name="volume.variance.overhead">'Tab-16 Analysis'!$E$152</definedName>
    <definedName name="volume.variance.profit">'Tab-16 Analysis'!$F$152</definedName>
    <definedName name="Volume_Variance_net.revenue">'Tab-16 Analysis'!$C$152</definedName>
    <definedName name="WComp_Rate">#REF!</definedName>
    <definedName name="Workers_comp_total">#REF!</definedName>
    <definedName name="wrn.Labor._.Budget." hidden="1">{#N/A,#N/A,FALSE,"Labor";#N/A,#N/A,FALSE,"TimeAnalysis";#N/A,#N/A,FALSE,"Multiple_of_DPE";#N/A,#N/A,FALSE,"FormulaVariables";#N/A,#N/A,FALSE,"Summary"}</definedName>
    <definedName name="wrn.Plan." localSheetId="26" hidden="1">{#N/A,#N/A,FALSE,"ProfitPlan";#N/A,#N/A,FALSE,"PlanAnalysis";#N/A,#N/A,FALSE,"TimeAnalysis";#N/A,#N/A,FALSE,"ProfitTarget";#N/A,#N/A,FALSE,"TaxProvision";#N/A,#N/A,FALSE,"Rates";#N/A,#N/A,FALSE,"FormulaVariables"}</definedName>
    <definedName name="wrn.Plan." hidden="1">{#N/A,#N/A,FALSE,"ProfitPlan";#N/A,#N/A,FALSE,"PlanAnalysis";#N/A,#N/A,FALSE,"TimeAnalysis";#N/A,#N/A,FALSE,"ProfitTarget";#N/A,#N/A,FALSE,"TaxProvision";#N/A,#N/A,FALSE,"Rates";#N/A,#N/A,FALSE,"FormulaVariables"}</definedName>
    <definedName name="wrn.Prior._.Years." localSheetId="26" hidden="1">{#N/A,#N/A,FALSE,"History"}</definedName>
    <definedName name="wrn.Prior._.Years." hidden="1">{#N/A,#N/A,FALSE,"History"}</definedName>
    <definedName name="wrn.Report." localSheetId="21" hidden="1">{#N/A,#N/A,FALSE,"DataEntry";#N/A,#N/A,FALSE,"Report";#N/A,#N/A,FALSE,"CashPlan";#N/A,#N/A,FALSE,"YTD_Variance"}</definedName>
    <definedName name="wrn.Report." localSheetId="26" hidden="1">{#N/A,#N/A,FALSE,"DataEntry";#N/A,#N/A,FALSE,"Report";#N/A,#N/A,FALSE,"CashPlan";#N/A,#N/A,FALSE,"YTD_Variance"}</definedName>
    <definedName name="wrn.Report." hidden="1">{#N/A,#N/A,FALSE,"DataEntry";#N/A,#N/A,FALSE,"Report";#N/A,#N/A,FALSE,"CashPlan";#N/A,#N/A,FALSE,"YTD_Variance"}</definedName>
    <definedName name="YTD_actual">#REF!</definedName>
    <definedName name="YTD_budget">#REF!</definedName>
  </definedNames>
  <calcPr calcId="145621"/>
</workbook>
</file>

<file path=xl/calcChain.xml><?xml version="1.0" encoding="utf-8"?>
<calcChain xmlns="http://schemas.openxmlformats.org/spreadsheetml/2006/main">
  <c r="D91" i="447" l="1"/>
  <c r="F115" i="447"/>
  <c r="H107" i="447"/>
  <c r="F71" i="447"/>
  <c r="C3" i="447"/>
  <c r="B4" i="447"/>
  <c r="B5" i="447"/>
  <c r="C83" i="447" l="1"/>
  <c r="D238" i="452" l="1"/>
  <c r="BE27" i="453"/>
  <c r="BE15" i="453"/>
  <c r="D8" i="459" l="1"/>
  <c r="D7" i="459"/>
  <c r="AF9" i="453"/>
  <c r="AF10" i="453"/>
  <c r="AF11" i="453"/>
  <c r="AF12" i="453"/>
  <c r="AF13" i="453"/>
  <c r="AF14" i="453"/>
  <c r="AF15" i="453"/>
  <c r="AF16" i="453"/>
  <c r="AF17" i="453"/>
  <c r="AF18" i="453"/>
  <c r="AF19" i="453"/>
  <c r="AF20" i="453"/>
  <c r="AF21" i="453"/>
  <c r="AF22" i="453"/>
  <c r="AF23" i="453"/>
  <c r="AF24" i="453"/>
  <c r="AF25" i="453"/>
  <c r="AF26" i="453"/>
  <c r="AF27" i="453"/>
  <c r="AF28" i="453"/>
  <c r="AF30" i="453"/>
  <c r="AF31" i="453"/>
  <c r="AF32" i="453"/>
  <c r="AF33" i="453"/>
  <c r="AF29" i="453"/>
  <c r="AE10" i="453"/>
  <c r="AE11" i="453"/>
  <c r="AE12" i="453"/>
  <c r="AE13" i="453"/>
  <c r="AE14" i="453"/>
  <c r="AE15" i="453"/>
  <c r="AE16" i="453"/>
  <c r="AE17" i="453"/>
  <c r="AE18" i="453"/>
  <c r="AE19" i="453"/>
  <c r="AE20" i="453"/>
  <c r="AE21" i="453"/>
  <c r="AE22" i="453"/>
  <c r="AE23" i="453"/>
  <c r="AE24" i="453"/>
  <c r="AE25" i="453"/>
  <c r="AE26" i="453"/>
  <c r="AE27" i="453"/>
  <c r="AE28" i="453"/>
  <c r="AE29" i="453"/>
  <c r="AE30" i="453"/>
  <c r="AE31" i="453"/>
  <c r="AE32" i="453"/>
  <c r="AE33" i="453"/>
  <c r="AE9" i="453"/>
  <c r="AB10" i="453"/>
  <c r="AB11" i="453"/>
  <c r="AB12" i="453"/>
  <c r="AB13" i="453"/>
  <c r="AB14" i="453"/>
  <c r="AB15" i="453"/>
  <c r="AB16" i="453"/>
  <c r="AB17" i="453"/>
  <c r="AB18" i="453"/>
  <c r="AB19" i="453"/>
  <c r="AB20" i="453"/>
  <c r="AB21" i="453"/>
  <c r="AB22" i="453"/>
  <c r="AB23" i="453"/>
  <c r="AB24" i="453"/>
  <c r="AB25" i="453"/>
  <c r="AB26" i="453"/>
  <c r="AB27" i="453"/>
  <c r="AB28" i="453"/>
  <c r="AB29" i="453"/>
  <c r="AB30" i="453"/>
  <c r="AB31" i="453"/>
  <c r="AB32" i="453"/>
  <c r="AB33" i="453"/>
  <c r="AB9" i="453"/>
  <c r="AK10" i="453" l="1"/>
  <c r="L299" i="457" l="1"/>
  <c r="M299" i="457"/>
  <c r="L305" i="457"/>
  <c r="M305" i="457" s="1"/>
  <c r="D305" i="452"/>
  <c r="K367" i="457" l="1"/>
  <c r="K369" i="457"/>
  <c r="K372" i="457"/>
  <c r="K366" i="457" s="1"/>
  <c r="J369" i="457"/>
  <c r="J370" i="457"/>
  <c r="J366" i="457"/>
  <c r="J365" i="457" s="1"/>
  <c r="J372" i="457"/>
  <c r="J368" i="457" l="1"/>
  <c r="K365" i="457"/>
  <c r="O19" i="445"/>
  <c r="I274" i="457" l="1"/>
  <c r="I242" i="457"/>
  <c r="H242" i="457"/>
  <c r="I240" i="457"/>
  <c r="I121" i="457"/>
  <c r="J101" i="457"/>
  <c r="M418" i="457" l="1"/>
  <c r="M409" i="457"/>
  <c r="M331" i="457"/>
  <c r="M332" i="457"/>
  <c r="M351" i="457"/>
  <c r="M353" i="457"/>
  <c r="M354" i="457"/>
  <c r="M355" i="457"/>
  <c r="M356" i="457"/>
  <c r="M357" i="457"/>
  <c r="M359" i="457"/>
  <c r="M375" i="457"/>
  <c r="M379" i="457"/>
  <c r="M380" i="457"/>
  <c r="M416" i="457"/>
  <c r="M417" i="457"/>
  <c r="M452" i="457"/>
  <c r="M493" i="457"/>
  <c r="M509" i="457"/>
  <c r="M514" i="457"/>
  <c r="M518" i="457"/>
  <c r="M520" i="457"/>
  <c r="M529" i="457"/>
  <c r="M532" i="457"/>
  <c r="M536" i="457"/>
  <c r="M541" i="457"/>
  <c r="M543" i="457"/>
  <c r="M551" i="457"/>
  <c r="M552" i="457"/>
  <c r="M555" i="457"/>
  <c r="M572" i="457"/>
  <c r="M573" i="457"/>
  <c r="M584" i="457"/>
  <c r="M589" i="457"/>
  <c r="BH11" i="453" l="1"/>
  <c r="BH12" i="453"/>
  <c r="BH13" i="453"/>
  <c r="BH14" i="453"/>
  <c r="BH15" i="453"/>
  <c r="BH16" i="453"/>
  <c r="BH17" i="453"/>
  <c r="BH18" i="453"/>
  <c r="BH19" i="453"/>
  <c r="BH20" i="453"/>
  <c r="BH21" i="453"/>
  <c r="BH22" i="453"/>
  <c r="BH23" i="453"/>
  <c r="BH24" i="453"/>
  <c r="BH25" i="453"/>
  <c r="BH26" i="453"/>
  <c r="BH27" i="453"/>
  <c r="BH28" i="453"/>
  <c r="BH29" i="453"/>
  <c r="BH30" i="453"/>
  <c r="BH31" i="453"/>
  <c r="BH32" i="453"/>
  <c r="BH33" i="453"/>
  <c r="BH9" i="453"/>
  <c r="BH35" i="453" s="1"/>
  <c r="BG11" i="453"/>
  <c r="BG12" i="453"/>
  <c r="BG13" i="453"/>
  <c r="BG14" i="453"/>
  <c r="BG15" i="453"/>
  <c r="BG16" i="453"/>
  <c r="BG17" i="453"/>
  <c r="BG18" i="453"/>
  <c r="BG19" i="453"/>
  <c r="BG20" i="453"/>
  <c r="BG21" i="453"/>
  <c r="BG22" i="453"/>
  <c r="BG23" i="453"/>
  <c r="BG24" i="453"/>
  <c r="BG25" i="453"/>
  <c r="BG26" i="453"/>
  <c r="BG27" i="453"/>
  <c r="BG28" i="453"/>
  <c r="BG29" i="453"/>
  <c r="BG30" i="453"/>
  <c r="BG31" i="453"/>
  <c r="BG32" i="453"/>
  <c r="BG33" i="453"/>
  <c r="BG9" i="453"/>
  <c r="P55" i="445"/>
  <c r="P25" i="445"/>
  <c r="P23" i="445"/>
  <c r="P13" i="445"/>
  <c r="P10" i="445"/>
  <c r="D25" i="445"/>
  <c r="E25" i="445"/>
  <c r="F25" i="445"/>
  <c r="G25" i="445"/>
  <c r="H25" i="445"/>
  <c r="I25" i="445"/>
  <c r="J25" i="445"/>
  <c r="K25" i="445"/>
  <c r="L25" i="445"/>
  <c r="M25" i="445"/>
  <c r="N25" i="445"/>
  <c r="C25" i="445"/>
  <c r="O20" i="445"/>
  <c r="L12" i="446"/>
  <c r="L10" i="446"/>
  <c r="L14" i="446"/>
  <c r="L13" i="446" s="1"/>
  <c r="L55" i="446"/>
  <c r="L51" i="446"/>
  <c r="BH36" i="453" l="1"/>
  <c r="BH38" i="453" s="1"/>
  <c r="C173" i="452" s="1"/>
  <c r="B30" i="455" s="1"/>
  <c r="K14" i="446"/>
  <c r="K13" i="446" s="1"/>
  <c r="K11" i="446"/>
  <c r="K10" i="446" s="1"/>
  <c r="L111" i="446"/>
  <c r="K111" i="446"/>
  <c r="L110" i="446"/>
  <c r="K110" i="446"/>
  <c r="L100" i="446"/>
  <c r="K100" i="446"/>
  <c r="L94" i="446"/>
  <c r="K94" i="446"/>
  <c r="L93" i="446"/>
  <c r="K93" i="446"/>
  <c r="L71" i="446"/>
  <c r="K71" i="446"/>
  <c r="L68" i="446"/>
  <c r="K68" i="446"/>
  <c r="L62" i="446"/>
  <c r="K62" i="446"/>
  <c r="L49" i="446"/>
  <c r="L42" i="446"/>
  <c r="L112" i="446" s="1"/>
  <c r="K42" i="446"/>
  <c r="K112" i="446" s="1"/>
  <c r="L40" i="446"/>
  <c r="K40" i="446"/>
  <c r="L39" i="446"/>
  <c r="L101" i="446" s="1"/>
  <c r="L102" i="446" s="1"/>
  <c r="K39" i="446"/>
  <c r="K101" i="446" s="1"/>
  <c r="K102" i="446" s="1"/>
  <c r="L34" i="446"/>
  <c r="L36" i="446" s="1"/>
  <c r="L130" i="446" s="1"/>
  <c r="K34" i="446"/>
  <c r="K36" i="446" s="1"/>
  <c r="L25" i="446"/>
  <c r="L63" i="446" s="1"/>
  <c r="K25" i="446"/>
  <c r="K80" i="446" s="1"/>
  <c r="L81" i="446"/>
  <c r="L72" i="446"/>
  <c r="K72" i="446"/>
  <c r="L61" i="446"/>
  <c r="K61" i="446"/>
  <c r="H62" i="445"/>
  <c r="O55" i="445"/>
  <c r="O51" i="445"/>
  <c r="H51" i="445"/>
  <c r="H55" i="445"/>
  <c r="G55" i="445"/>
  <c r="G51" i="445"/>
  <c r="G23" i="445"/>
  <c r="I23" i="445"/>
  <c r="J23" i="445"/>
  <c r="K23" i="445"/>
  <c r="L23" i="445"/>
  <c r="M23" i="445"/>
  <c r="N23" i="445"/>
  <c r="F55" i="445"/>
  <c r="F51" i="445"/>
  <c r="E55" i="445"/>
  <c r="E51" i="445"/>
  <c r="E50" i="445"/>
  <c r="E23" i="445"/>
  <c r="F23" i="445"/>
  <c r="D55" i="445"/>
  <c r="D51" i="445"/>
  <c r="D50" i="445"/>
  <c r="D23" i="445"/>
  <c r="C23" i="445"/>
  <c r="C55" i="445"/>
  <c r="C51" i="445"/>
  <c r="K86" i="446" l="1"/>
  <c r="L70" i="446"/>
  <c r="L75" i="446"/>
  <c r="L88" i="446"/>
  <c r="L69" i="446"/>
  <c r="L73" i="446" s="1"/>
  <c r="L116" i="446" s="1"/>
  <c r="L95" i="446"/>
  <c r="K95" i="446"/>
  <c r="K75" i="446"/>
  <c r="K88" i="446"/>
  <c r="K69" i="446"/>
  <c r="K67" i="446" s="1"/>
  <c r="K70" i="446"/>
  <c r="L131" i="446"/>
  <c r="L129" i="446" s="1"/>
  <c r="L105" i="446"/>
  <c r="L85" i="446"/>
  <c r="L126" i="446" s="1"/>
  <c r="K131" i="446"/>
  <c r="K105" i="446"/>
  <c r="K85" i="446"/>
  <c r="K126" i="446" s="1"/>
  <c r="K43" i="446"/>
  <c r="L109" i="446"/>
  <c r="L125" i="446" s="1"/>
  <c r="K63" i="446"/>
  <c r="K30" i="446"/>
  <c r="L30" i="446"/>
  <c r="L86" i="446"/>
  <c r="K87" i="446"/>
  <c r="K106" i="446"/>
  <c r="L80" i="446"/>
  <c r="L79" i="446" s="1"/>
  <c r="L87" i="446"/>
  <c r="L106" i="446"/>
  <c r="K81" i="446"/>
  <c r="K79" i="446" s="1"/>
  <c r="L43" i="446"/>
  <c r="L92" i="446"/>
  <c r="K109" i="446"/>
  <c r="K125" i="446" s="1"/>
  <c r="K92" i="446"/>
  <c r="K130" i="446"/>
  <c r="K124" i="446" l="1"/>
  <c r="L67" i="446"/>
  <c r="L117" i="446"/>
  <c r="L124" i="446"/>
  <c r="K129" i="446"/>
  <c r="K104" i="446"/>
  <c r="K117" i="446"/>
  <c r="K73" i="446"/>
  <c r="K116" i="446" s="1"/>
  <c r="K96" i="446"/>
  <c r="K44" i="446"/>
  <c r="K113" i="446"/>
  <c r="K121" i="446"/>
  <c r="L104" i="446"/>
  <c r="L113" i="446"/>
  <c r="L96" i="446"/>
  <c r="L44" i="446"/>
  <c r="L121" i="446"/>
  <c r="L120" i="446"/>
  <c r="K120" i="446" l="1"/>
  <c r="E10" i="453"/>
  <c r="L145" i="457"/>
  <c r="M145" i="457" s="1"/>
  <c r="L148" i="457"/>
  <c r="M148" i="457" s="1"/>
  <c r="L149" i="457"/>
  <c r="M149" i="457" s="1"/>
  <c r="L150" i="457"/>
  <c r="M150" i="457" s="1"/>
  <c r="L167" i="457"/>
  <c r="M167" i="457" s="1"/>
  <c r="L173" i="457"/>
  <c r="M173" i="457" s="1"/>
  <c r="L174" i="457"/>
  <c r="M174" i="457" s="1"/>
  <c r="L175" i="457"/>
  <c r="M175" i="457" s="1"/>
  <c r="L177" i="457"/>
  <c r="M177" i="457" s="1"/>
  <c r="L178" i="457"/>
  <c r="M178" i="457" s="1"/>
  <c r="L179" i="457"/>
  <c r="M179" i="457" s="1"/>
  <c r="L180" i="457"/>
  <c r="M180" i="457" s="1"/>
  <c r="L181" i="457"/>
  <c r="M181" i="457" s="1"/>
  <c r="L182" i="457"/>
  <c r="M182" i="457" s="1"/>
  <c r="L183" i="457"/>
  <c r="M183" i="457" s="1"/>
  <c r="L184" i="457"/>
  <c r="M184" i="457" s="1"/>
  <c r="L185" i="457"/>
  <c r="M185" i="457" s="1"/>
  <c r="L186" i="457"/>
  <c r="M186" i="457" s="1"/>
  <c r="L192" i="457"/>
  <c r="M192" i="457" s="1"/>
  <c r="L193" i="457"/>
  <c r="M193" i="457" s="1"/>
  <c r="L194" i="457"/>
  <c r="M194" i="457" s="1"/>
  <c r="L195" i="457"/>
  <c r="M195" i="457" s="1"/>
  <c r="L196" i="457"/>
  <c r="M196" i="457" s="1"/>
  <c r="L197" i="457"/>
  <c r="M197" i="457" s="1"/>
  <c r="L198" i="457"/>
  <c r="M198" i="457" s="1"/>
  <c r="L199" i="457"/>
  <c r="M199" i="457" s="1"/>
  <c r="L200" i="457"/>
  <c r="M200" i="457" s="1"/>
  <c r="L201" i="457"/>
  <c r="M201" i="457" s="1"/>
  <c r="L202" i="457"/>
  <c r="M202" i="457" s="1"/>
  <c r="L203" i="457"/>
  <c r="M203" i="457" s="1"/>
  <c r="L204" i="457"/>
  <c r="M204" i="457" s="1"/>
  <c r="L205" i="457"/>
  <c r="M205" i="457" s="1"/>
  <c r="L206" i="457"/>
  <c r="M206" i="457" s="1"/>
  <c r="L211" i="457"/>
  <c r="M211" i="457" s="1"/>
  <c r="L212" i="457"/>
  <c r="M212" i="457" s="1"/>
  <c r="L213" i="457"/>
  <c r="M213" i="457" s="1"/>
  <c r="L214" i="457"/>
  <c r="M214" i="457" s="1"/>
  <c r="L215" i="457"/>
  <c r="M215" i="457" s="1"/>
  <c r="L216" i="457"/>
  <c r="M216" i="457" s="1"/>
  <c r="L217" i="457"/>
  <c r="M217" i="457" s="1"/>
  <c r="L218" i="457"/>
  <c r="M218" i="457" s="1"/>
  <c r="L219" i="457"/>
  <c r="M219" i="457" s="1"/>
  <c r="L220" i="457"/>
  <c r="M220" i="457" s="1"/>
  <c r="L221" i="457"/>
  <c r="M221" i="457" s="1"/>
  <c r="L222" i="457"/>
  <c r="M222" i="457" s="1"/>
  <c r="L223" i="457"/>
  <c r="M223" i="457" s="1"/>
  <c r="L224" i="457"/>
  <c r="M224" i="457" s="1"/>
  <c r="L225" i="457"/>
  <c r="M225" i="457" s="1"/>
  <c r="L226" i="457"/>
  <c r="M226" i="457" s="1"/>
  <c r="L227" i="457"/>
  <c r="M227" i="457" s="1"/>
  <c r="L228" i="457"/>
  <c r="M228" i="457" s="1"/>
  <c r="L229" i="457"/>
  <c r="M229" i="457" s="1"/>
  <c r="L234" i="457"/>
  <c r="M234" i="457" s="1"/>
  <c r="L235" i="457"/>
  <c r="M235" i="457" s="1"/>
  <c r="L236" i="457"/>
  <c r="M236" i="457" s="1"/>
  <c r="L237" i="457"/>
  <c r="M237" i="457" s="1"/>
  <c r="L238" i="457"/>
  <c r="M238" i="457" s="1"/>
  <c r="L239" i="457"/>
  <c r="M239" i="457" s="1"/>
  <c r="L240" i="457"/>
  <c r="M240" i="457" s="1"/>
  <c r="L241" i="457"/>
  <c r="M241" i="457" s="1"/>
  <c r="L242" i="457"/>
  <c r="M242" i="457" s="1"/>
  <c r="L243" i="457"/>
  <c r="M243" i="457" s="1"/>
  <c r="L244" i="457"/>
  <c r="M244" i="457" s="1"/>
  <c r="L245" i="457"/>
  <c r="M245" i="457" s="1"/>
  <c r="L246" i="457"/>
  <c r="M246" i="457" s="1"/>
  <c r="L247" i="457"/>
  <c r="M247" i="457" s="1"/>
  <c r="L248" i="457"/>
  <c r="M248" i="457" s="1"/>
  <c r="L249" i="457"/>
  <c r="M249" i="457" s="1"/>
  <c r="L250" i="457"/>
  <c r="M250" i="457" s="1"/>
  <c r="L251" i="457"/>
  <c r="M251" i="457" s="1"/>
  <c r="L252" i="457"/>
  <c r="M252" i="457" s="1"/>
  <c r="L253" i="457"/>
  <c r="M253" i="457" s="1"/>
  <c r="L254" i="457"/>
  <c r="M254" i="457" s="1"/>
  <c r="L255" i="457"/>
  <c r="M255" i="457" s="1"/>
  <c r="L256" i="457"/>
  <c r="M256" i="457" s="1"/>
  <c r="L257" i="457"/>
  <c r="M257" i="457" s="1"/>
  <c r="L258" i="457"/>
  <c r="M258" i="457" s="1"/>
  <c r="L259" i="457"/>
  <c r="M259" i="457" s="1"/>
  <c r="L260" i="457"/>
  <c r="M260" i="457" s="1"/>
  <c r="L261" i="457"/>
  <c r="M261" i="457" s="1"/>
  <c r="L262" i="457"/>
  <c r="M262" i="457" s="1"/>
  <c r="L263" i="457"/>
  <c r="M263" i="457" s="1"/>
  <c r="L264" i="457"/>
  <c r="M264" i="457" s="1"/>
  <c r="L265" i="457"/>
  <c r="M265" i="457" s="1"/>
  <c r="L270" i="457"/>
  <c r="M270" i="457" s="1"/>
  <c r="L271" i="457"/>
  <c r="M271" i="457" s="1"/>
  <c r="L272" i="457"/>
  <c r="M272" i="457" s="1"/>
  <c r="L273" i="457"/>
  <c r="M273" i="457" s="1"/>
  <c r="L274" i="457"/>
  <c r="M274" i="457" s="1"/>
  <c r="L275" i="457"/>
  <c r="M275" i="457" s="1"/>
  <c r="L276" i="457"/>
  <c r="M276" i="457" s="1"/>
  <c r="L278" i="457"/>
  <c r="L281" i="457"/>
  <c r="M281" i="457" s="1"/>
  <c r="L282" i="457"/>
  <c r="M282" i="457" s="1"/>
  <c r="L283" i="457"/>
  <c r="M283" i="457" s="1"/>
  <c r="L284" i="457"/>
  <c r="M284" i="457" s="1"/>
  <c r="L285" i="457"/>
  <c r="M285" i="457" s="1"/>
  <c r="L286" i="457"/>
  <c r="M286" i="457" s="1"/>
  <c r="L287" i="457"/>
  <c r="M287" i="457" s="1"/>
  <c r="L288" i="457"/>
  <c r="M288" i="457" s="1"/>
  <c r="L293" i="457"/>
  <c r="M293" i="457" s="1"/>
  <c r="L294" i="457"/>
  <c r="M294" i="457" s="1"/>
  <c r="L295" i="457"/>
  <c r="M295" i="457" s="1"/>
  <c r="L296" i="457"/>
  <c r="M296" i="457" s="1"/>
  <c r="L297" i="457"/>
  <c r="M297" i="457" s="1"/>
  <c r="L298" i="457"/>
  <c r="M298" i="457" s="1"/>
  <c r="L300" i="457"/>
  <c r="M300" i="457" s="1"/>
  <c r="L301" i="457"/>
  <c r="M301" i="457" s="1"/>
  <c r="L302" i="457"/>
  <c r="M302" i="457" s="1"/>
  <c r="L303" i="457"/>
  <c r="M303" i="457" s="1"/>
  <c r="L304" i="457"/>
  <c r="M304" i="457" s="1"/>
  <c r="L306" i="457"/>
  <c r="M306" i="457" s="1"/>
  <c r="L307" i="457"/>
  <c r="M307" i="457" s="1"/>
  <c r="L308" i="457"/>
  <c r="M308" i="457" s="1"/>
  <c r="L309" i="457"/>
  <c r="M309" i="457" s="1"/>
  <c r="L310" i="457"/>
  <c r="M310" i="457" s="1"/>
  <c r="L26" i="457"/>
  <c r="M26" i="457" s="1"/>
  <c r="F35" i="453"/>
  <c r="F36" i="453"/>
  <c r="G312" i="452"/>
  <c r="G290" i="452"/>
  <c r="G278" i="452"/>
  <c r="G267" i="452"/>
  <c r="G231" i="452"/>
  <c r="G208" i="452"/>
  <c r="G112" i="452"/>
  <c r="G71" i="452"/>
  <c r="G58" i="452"/>
  <c r="C290" i="452"/>
  <c r="L290" i="457" s="1"/>
  <c r="C312" i="452"/>
  <c r="L312" i="457" s="1"/>
  <c r="C278" i="452"/>
  <c r="C267" i="452"/>
  <c r="L267" i="457" s="1"/>
  <c r="C231" i="452"/>
  <c r="L231" i="457" s="1"/>
  <c r="C208" i="452"/>
  <c r="L208" i="457" s="1"/>
  <c r="Y35" i="453"/>
  <c r="Y36" i="453"/>
  <c r="BI25" i="453"/>
  <c r="BI26" i="453"/>
  <c r="BI11" i="453"/>
  <c r="AO10" i="453"/>
  <c r="AP10" i="453" s="1"/>
  <c r="AJ29" i="453"/>
  <c r="AG29" i="453" s="1"/>
  <c r="AJ30" i="453"/>
  <c r="AG30" i="453" s="1"/>
  <c r="AJ33" i="453"/>
  <c r="AG33" i="453" s="1"/>
  <c r="AJ32" i="453"/>
  <c r="AG32" i="453" s="1"/>
  <c r="AJ31" i="453"/>
  <c r="AG31" i="453" s="1"/>
  <c r="N35" i="453"/>
  <c r="O35" i="453"/>
  <c r="N36" i="453"/>
  <c r="O36" i="453"/>
  <c r="M12" i="453"/>
  <c r="M13" i="453"/>
  <c r="M14" i="453"/>
  <c r="M16" i="453"/>
  <c r="M17" i="453"/>
  <c r="M18" i="453"/>
  <c r="M19" i="453"/>
  <c r="M20" i="453"/>
  <c r="M21" i="453"/>
  <c r="M22" i="453"/>
  <c r="M23" i="453"/>
  <c r="M24" i="453"/>
  <c r="M28" i="453"/>
  <c r="M15" i="453"/>
  <c r="M26" i="453"/>
  <c r="M11" i="453"/>
  <c r="M25" i="453"/>
  <c r="M27" i="453"/>
  <c r="M29" i="453"/>
  <c r="M30" i="453"/>
  <c r="M33" i="453"/>
  <c r="M32" i="453"/>
  <c r="M31" i="453"/>
  <c r="M9" i="453"/>
  <c r="P31" i="453"/>
  <c r="R31" i="453" s="1"/>
  <c r="P32" i="453"/>
  <c r="R32" i="453" s="1"/>
  <c r="P33" i="453"/>
  <c r="R33" i="453" s="1"/>
  <c r="P30" i="453"/>
  <c r="R30" i="453" s="1"/>
  <c r="P29" i="453"/>
  <c r="R29" i="453" s="1"/>
  <c r="P27" i="453"/>
  <c r="R27" i="453" s="1"/>
  <c r="P25" i="453"/>
  <c r="R25" i="453" s="1"/>
  <c r="P11" i="453"/>
  <c r="R11" i="453" s="1"/>
  <c r="P26" i="453"/>
  <c r="R26" i="453" s="1"/>
  <c r="P15" i="453"/>
  <c r="R15" i="453" s="1"/>
  <c r="P28" i="453"/>
  <c r="R28" i="453" s="1"/>
  <c r="P24" i="453"/>
  <c r="R24" i="453" s="1"/>
  <c r="P23" i="453"/>
  <c r="R23" i="453" s="1"/>
  <c r="P22" i="453"/>
  <c r="R22" i="453" s="1"/>
  <c r="P21" i="453"/>
  <c r="R21" i="453" s="1"/>
  <c r="P20" i="453"/>
  <c r="R20" i="453" s="1"/>
  <c r="P19" i="453"/>
  <c r="R19" i="453" s="1"/>
  <c r="P18" i="453"/>
  <c r="R18" i="453" s="1"/>
  <c r="P17" i="453"/>
  <c r="R17" i="453" s="1"/>
  <c r="P16" i="453"/>
  <c r="R16" i="453" s="1"/>
  <c r="P14" i="453"/>
  <c r="R14" i="453" s="1"/>
  <c r="P13" i="453"/>
  <c r="R13" i="453" s="1"/>
  <c r="P12" i="453"/>
  <c r="R12" i="453" s="1"/>
  <c r="P9" i="453"/>
  <c r="R9" i="453" s="1"/>
  <c r="C16" i="457"/>
  <c r="D16" i="457"/>
  <c r="E16" i="457"/>
  <c r="F16" i="457"/>
  <c r="G16" i="457"/>
  <c r="H16" i="457"/>
  <c r="I16" i="457"/>
  <c r="J16" i="457"/>
  <c r="C23" i="457"/>
  <c r="D23" i="457"/>
  <c r="E23" i="457"/>
  <c r="F23" i="457"/>
  <c r="G23" i="457"/>
  <c r="H23" i="457"/>
  <c r="I23" i="457"/>
  <c r="J23" i="457"/>
  <c r="C45" i="457"/>
  <c r="D45" i="457"/>
  <c r="E45" i="457"/>
  <c r="F45" i="457"/>
  <c r="G45" i="457"/>
  <c r="H45" i="457"/>
  <c r="I45" i="457"/>
  <c r="J45" i="457"/>
  <c r="C58" i="457"/>
  <c r="D58" i="457"/>
  <c r="E58" i="457"/>
  <c r="F58" i="457"/>
  <c r="G58" i="457"/>
  <c r="H58" i="457"/>
  <c r="I58" i="457"/>
  <c r="J58" i="457"/>
  <c r="C71" i="457"/>
  <c r="D71" i="457"/>
  <c r="E71" i="457"/>
  <c r="F71" i="457"/>
  <c r="G71" i="457"/>
  <c r="H71" i="457"/>
  <c r="I71" i="457"/>
  <c r="J71" i="457"/>
  <c r="C97" i="457"/>
  <c r="D97" i="457"/>
  <c r="E97" i="457"/>
  <c r="F97" i="457"/>
  <c r="G97" i="457"/>
  <c r="H97" i="457"/>
  <c r="I97" i="457"/>
  <c r="J97" i="457"/>
  <c r="C112" i="457"/>
  <c r="D112" i="457"/>
  <c r="E112" i="457"/>
  <c r="F112" i="457"/>
  <c r="G112" i="457"/>
  <c r="H112" i="457"/>
  <c r="I112" i="457"/>
  <c r="J112" i="457"/>
  <c r="C125" i="457"/>
  <c r="D125" i="457"/>
  <c r="E125" i="457"/>
  <c r="F125" i="457"/>
  <c r="G125" i="457"/>
  <c r="H125" i="457"/>
  <c r="I125" i="457"/>
  <c r="J125" i="457"/>
  <c r="C137" i="457"/>
  <c r="D137" i="457"/>
  <c r="E137" i="457"/>
  <c r="F137" i="457"/>
  <c r="G137" i="457"/>
  <c r="H137" i="457"/>
  <c r="I137" i="457"/>
  <c r="J137" i="457"/>
  <c r="C152" i="457"/>
  <c r="D152" i="457"/>
  <c r="E152" i="457"/>
  <c r="F152" i="457"/>
  <c r="G152" i="457"/>
  <c r="H152" i="457"/>
  <c r="I152" i="457"/>
  <c r="J152" i="457"/>
  <c r="C159" i="457"/>
  <c r="D159" i="457"/>
  <c r="E159" i="457"/>
  <c r="F159" i="457"/>
  <c r="G159" i="457"/>
  <c r="H159" i="457"/>
  <c r="I159" i="457"/>
  <c r="J159" i="457"/>
  <c r="C169" i="457"/>
  <c r="D169" i="457"/>
  <c r="E169" i="457"/>
  <c r="F169" i="457"/>
  <c r="G169" i="457"/>
  <c r="H169" i="457"/>
  <c r="I169" i="457"/>
  <c r="J169" i="457"/>
  <c r="C188" i="457"/>
  <c r="D188" i="457"/>
  <c r="E188" i="457"/>
  <c r="F188" i="457"/>
  <c r="G188" i="457"/>
  <c r="H188" i="457"/>
  <c r="I188" i="457"/>
  <c r="J188" i="457"/>
  <c r="C208" i="457"/>
  <c r="D208" i="457"/>
  <c r="E208" i="457"/>
  <c r="F208" i="457"/>
  <c r="G208" i="457"/>
  <c r="H208" i="457"/>
  <c r="I208" i="457"/>
  <c r="J208" i="457"/>
  <c r="C231" i="457"/>
  <c r="D231" i="457"/>
  <c r="E231" i="457"/>
  <c r="F231" i="457"/>
  <c r="G231" i="457"/>
  <c r="H231" i="457"/>
  <c r="I231" i="457"/>
  <c r="J231" i="457"/>
  <c r="C267" i="457"/>
  <c r="D267" i="457"/>
  <c r="E267" i="457"/>
  <c r="F267" i="457"/>
  <c r="G267" i="457"/>
  <c r="H267" i="457"/>
  <c r="I267" i="457"/>
  <c r="J267" i="457"/>
  <c r="C278" i="457"/>
  <c r="D278" i="457"/>
  <c r="E278" i="457"/>
  <c r="F278" i="457"/>
  <c r="G278" i="457"/>
  <c r="H278" i="457"/>
  <c r="I278" i="457"/>
  <c r="J278" i="457"/>
  <c r="C290" i="457"/>
  <c r="D290" i="457"/>
  <c r="E290" i="457"/>
  <c r="F290" i="457"/>
  <c r="G290" i="457"/>
  <c r="H290" i="457"/>
  <c r="I290" i="457"/>
  <c r="J290" i="457"/>
  <c r="C312" i="457"/>
  <c r="D312" i="457"/>
  <c r="E312" i="457"/>
  <c r="F312" i="457"/>
  <c r="G312" i="457"/>
  <c r="H312" i="457"/>
  <c r="I312" i="457"/>
  <c r="J312" i="457"/>
  <c r="C330" i="457"/>
  <c r="D330" i="457"/>
  <c r="E330" i="457"/>
  <c r="F330" i="457"/>
  <c r="G330" i="457"/>
  <c r="H330" i="457"/>
  <c r="I330" i="457"/>
  <c r="J330" i="457"/>
  <c r="C338" i="457"/>
  <c r="D338" i="457"/>
  <c r="E338" i="457"/>
  <c r="F338" i="457"/>
  <c r="G338" i="457"/>
  <c r="H338" i="457"/>
  <c r="I338" i="457"/>
  <c r="J338" i="457"/>
  <c r="K338" i="457"/>
  <c r="K330" i="457"/>
  <c r="K312" i="457"/>
  <c r="K290" i="457"/>
  <c r="K278" i="457"/>
  <c r="K267" i="457"/>
  <c r="K231" i="457"/>
  <c r="K208" i="457"/>
  <c r="K188" i="457"/>
  <c r="K169" i="457"/>
  <c r="K159" i="457"/>
  <c r="K152" i="457"/>
  <c r="K137" i="457"/>
  <c r="K125" i="457"/>
  <c r="K112" i="457"/>
  <c r="K97" i="457"/>
  <c r="K71" i="457"/>
  <c r="K58" i="457"/>
  <c r="K45" i="457"/>
  <c r="K23" i="457"/>
  <c r="K16" i="457"/>
  <c r="E312" i="452"/>
  <c r="E290" i="452"/>
  <c r="E278" i="452"/>
  <c r="E267" i="452"/>
  <c r="E231" i="452"/>
  <c r="E208" i="452"/>
  <c r="E125" i="452"/>
  <c r="E112" i="452"/>
  <c r="E71" i="452"/>
  <c r="E58" i="452"/>
  <c r="E338" i="452"/>
  <c r="E330" i="452"/>
  <c r="E188" i="452"/>
  <c r="E169" i="452"/>
  <c r="E159" i="452"/>
  <c r="E152" i="452"/>
  <c r="E137" i="452"/>
  <c r="E97" i="452"/>
  <c r="E45" i="452"/>
  <c r="E23" i="452"/>
  <c r="E16" i="452"/>
  <c r="R35" i="453" l="1"/>
  <c r="R36" i="453"/>
  <c r="R38" i="453" s="1"/>
  <c r="G28" i="457"/>
  <c r="K74" i="457"/>
  <c r="K76" i="457" s="1"/>
  <c r="J74" i="457"/>
  <c r="J76" i="457" s="1"/>
  <c r="D28" i="457"/>
  <c r="C28" i="457"/>
  <c r="M208" i="457"/>
  <c r="J28" i="457"/>
  <c r="E128" i="457"/>
  <c r="M267" i="457"/>
  <c r="I74" i="457"/>
  <c r="I76" i="457" s="1"/>
  <c r="D74" i="457"/>
  <c r="D76" i="457" s="1"/>
  <c r="H28" i="457"/>
  <c r="G128" i="457"/>
  <c r="E74" i="457"/>
  <c r="E76" i="457" s="1"/>
  <c r="D128" i="457"/>
  <c r="G74" i="457"/>
  <c r="G76" i="457" s="1"/>
  <c r="F28" i="457"/>
  <c r="F74" i="457"/>
  <c r="F76" i="457" s="1"/>
  <c r="E28" i="457"/>
  <c r="K28" i="457"/>
  <c r="K316" i="457"/>
  <c r="K319" i="457" s="1"/>
  <c r="C74" i="457"/>
  <c r="C76" i="457" s="1"/>
  <c r="M231" i="457"/>
  <c r="I128" i="457"/>
  <c r="I316" i="457"/>
  <c r="I319" i="457" s="1"/>
  <c r="G316" i="457"/>
  <c r="G319" i="457" s="1"/>
  <c r="J316" i="457"/>
  <c r="J319" i="457" s="1"/>
  <c r="C316" i="457"/>
  <c r="C319" i="457" s="1"/>
  <c r="F316" i="457"/>
  <c r="F319" i="457" s="1"/>
  <c r="H74" i="457"/>
  <c r="H76" i="457" s="1"/>
  <c r="M312" i="457"/>
  <c r="M278" i="457"/>
  <c r="H128" i="457"/>
  <c r="C128" i="457"/>
  <c r="F128" i="457"/>
  <c r="M290" i="457"/>
  <c r="K128" i="457"/>
  <c r="J128" i="457"/>
  <c r="E74" i="452"/>
  <c r="E128" i="452"/>
  <c r="F38" i="453"/>
  <c r="Y38" i="453"/>
  <c r="E316" i="452"/>
  <c r="E319" i="452" s="1"/>
  <c r="L23" i="453"/>
  <c r="L11" i="453"/>
  <c r="L26" i="453"/>
  <c r="P35" i="453"/>
  <c r="O38" i="453"/>
  <c r="L33" i="453"/>
  <c r="L9" i="453"/>
  <c r="L28" i="453"/>
  <c r="M36" i="453"/>
  <c r="L31" i="453"/>
  <c r="L27" i="453"/>
  <c r="L29" i="453"/>
  <c r="L25" i="453"/>
  <c r="P36" i="453"/>
  <c r="M35" i="453"/>
  <c r="N38" i="453"/>
  <c r="L17" i="453"/>
  <c r="L18" i="453"/>
  <c r="L15" i="453"/>
  <c r="L32" i="453"/>
  <c r="L19" i="453"/>
  <c r="L20" i="453"/>
  <c r="L12" i="453"/>
  <c r="L21" i="453"/>
  <c r="L13" i="453"/>
  <c r="L22" i="453"/>
  <c r="L14" i="453"/>
  <c r="L16" i="453"/>
  <c r="L24" i="453"/>
  <c r="L30" i="453"/>
  <c r="H316" i="457"/>
  <c r="H319" i="457" s="1"/>
  <c r="I28" i="457"/>
  <c r="E316" i="457"/>
  <c r="E319" i="457" s="1"/>
  <c r="D316" i="457"/>
  <c r="D319" i="457" s="1"/>
  <c r="E28" i="452"/>
  <c r="E76" i="452"/>
  <c r="F78" i="457" l="1"/>
  <c r="F131" i="457" s="1"/>
  <c r="F140" i="457" s="1"/>
  <c r="F322" i="457" s="1"/>
  <c r="F340" i="457" s="1"/>
  <c r="F344" i="457" s="1"/>
  <c r="F348" i="457" s="1"/>
  <c r="G78" i="457"/>
  <c r="G131" i="457" s="1"/>
  <c r="G140" i="457" s="1"/>
  <c r="G322" i="457" s="1"/>
  <c r="G340" i="457" s="1"/>
  <c r="G344" i="457" s="1"/>
  <c r="G348" i="457" s="1"/>
  <c r="E78" i="457"/>
  <c r="E131" i="457" s="1"/>
  <c r="E140" i="457" s="1"/>
  <c r="E322" i="457" s="1"/>
  <c r="E340" i="457" s="1"/>
  <c r="E344" i="457" s="1"/>
  <c r="E348" i="457" s="1"/>
  <c r="D78" i="457"/>
  <c r="D131" i="457" s="1"/>
  <c r="D140" i="457" s="1"/>
  <c r="D322" i="457" s="1"/>
  <c r="D340" i="457" s="1"/>
  <c r="D344" i="457" s="1"/>
  <c r="D348" i="457" s="1"/>
  <c r="J78" i="457"/>
  <c r="J131" i="457" s="1"/>
  <c r="J140" i="457" s="1"/>
  <c r="J322" i="457" s="1"/>
  <c r="J340" i="457" s="1"/>
  <c r="J344" i="457" s="1"/>
  <c r="J348" i="457" s="1"/>
  <c r="I78" i="457"/>
  <c r="I131" i="457" s="1"/>
  <c r="I140" i="457" s="1"/>
  <c r="I322" i="457" s="1"/>
  <c r="I340" i="457" s="1"/>
  <c r="I344" i="457" s="1"/>
  <c r="I348" i="457" s="1"/>
  <c r="K78" i="457"/>
  <c r="K131" i="457" s="1"/>
  <c r="K140" i="457" s="1"/>
  <c r="K322" i="457" s="1"/>
  <c r="K340" i="457" s="1"/>
  <c r="K344" i="457" s="1"/>
  <c r="K348" i="457" s="1"/>
  <c r="H78" i="457"/>
  <c r="H131" i="457" s="1"/>
  <c r="H140" i="457" s="1"/>
  <c r="H322" i="457" s="1"/>
  <c r="H340" i="457" s="1"/>
  <c r="H344" i="457" s="1"/>
  <c r="H348" i="457" s="1"/>
  <c r="C78" i="457"/>
  <c r="C131" i="457" s="1"/>
  <c r="C140" i="457" s="1"/>
  <c r="C322" i="457" s="1"/>
  <c r="C340" i="457" s="1"/>
  <c r="C344" i="457" s="1"/>
  <c r="C348" i="457" s="1"/>
  <c r="K305" i="452"/>
  <c r="K145" i="452"/>
  <c r="AH31" i="453"/>
  <c r="AH30" i="453"/>
  <c r="AH33" i="453"/>
  <c r="AH32" i="453"/>
  <c r="P38" i="453"/>
  <c r="AU21" i="453"/>
  <c r="AV21" i="453"/>
  <c r="AW21" i="453"/>
  <c r="L35" i="453"/>
  <c r="AU9" i="453"/>
  <c r="AW9" i="453"/>
  <c r="AV9" i="453"/>
  <c r="AU32" i="453"/>
  <c r="AV32" i="453"/>
  <c r="AW32" i="453"/>
  <c r="AU33" i="453"/>
  <c r="AV33" i="453"/>
  <c r="AW33" i="453"/>
  <c r="AV14" i="453"/>
  <c r="AW14" i="453"/>
  <c r="AU14" i="453"/>
  <c r="AU12" i="453"/>
  <c r="AV12" i="453"/>
  <c r="AW12" i="453"/>
  <c r="AU15" i="453"/>
  <c r="AV15" i="453"/>
  <c r="AW15" i="453"/>
  <c r="AV22" i="453"/>
  <c r="AW22" i="453"/>
  <c r="AU22" i="453"/>
  <c r="AV20" i="453"/>
  <c r="AU20" i="453"/>
  <c r="AW20" i="453"/>
  <c r="AU18" i="453"/>
  <c r="AV18" i="453"/>
  <c r="AW18" i="453"/>
  <c r="AW25" i="453"/>
  <c r="AU25" i="453"/>
  <c r="AV25" i="453"/>
  <c r="AU27" i="453"/>
  <c r="AV27" i="453"/>
  <c r="AW27" i="453"/>
  <c r="AU26" i="453"/>
  <c r="AV26" i="453"/>
  <c r="AW26" i="453"/>
  <c r="AU30" i="453"/>
  <c r="AV30" i="453"/>
  <c r="AW30" i="453"/>
  <c r="AU31" i="453"/>
  <c r="AV31" i="453"/>
  <c r="AW31" i="453"/>
  <c r="AW11" i="453"/>
  <c r="AU11" i="453"/>
  <c r="AV11" i="453"/>
  <c r="AU13" i="453"/>
  <c r="AV13" i="453"/>
  <c r="AW13" i="453"/>
  <c r="AV19" i="453"/>
  <c r="AW19" i="453"/>
  <c r="AU19" i="453"/>
  <c r="AW17" i="453"/>
  <c r="AU17" i="453"/>
  <c r="AV17" i="453"/>
  <c r="AU23" i="453"/>
  <c r="AV23" i="453"/>
  <c r="AW23" i="453"/>
  <c r="AU24" i="453"/>
  <c r="AV24" i="453"/>
  <c r="AW24" i="453"/>
  <c r="AU28" i="453"/>
  <c r="AV28" i="453"/>
  <c r="AW28" i="453"/>
  <c r="AV29" i="453"/>
  <c r="AW29" i="453"/>
  <c r="AU29" i="453"/>
  <c r="AW16" i="453"/>
  <c r="AU16" i="453"/>
  <c r="AV16" i="453"/>
  <c r="M38" i="453"/>
  <c r="L36" i="453"/>
  <c r="E78" i="452"/>
  <c r="E131" i="452" s="1"/>
  <c r="L38" i="453" l="1"/>
  <c r="E140" i="452"/>
  <c r="E322" i="452" s="1"/>
  <c r="E340" i="452" s="1"/>
  <c r="E344" i="452" s="1"/>
  <c r="E348" i="452" s="1"/>
  <c r="I145" i="452"/>
  <c r="I305" i="452"/>
  <c r="K587" i="457"/>
  <c r="M587" i="457" s="1"/>
  <c r="K586" i="457"/>
  <c r="M586" i="457" s="1"/>
  <c r="K580" i="457"/>
  <c r="K574" i="457"/>
  <c r="K537" i="457"/>
  <c r="K507" i="457"/>
  <c r="K502" i="457"/>
  <c r="K501" i="457"/>
  <c r="K479" i="457"/>
  <c r="K453" i="457"/>
  <c r="K449" i="457"/>
  <c r="K444" i="457"/>
  <c r="K434" i="457"/>
  <c r="K426" i="457"/>
  <c r="K418" i="457"/>
  <c r="K415" i="457"/>
  <c r="K489" i="457" s="1"/>
  <c r="K413" i="457"/>
  <c r="K409" i="457"/>
  <c r="K396" i="457"/>
  <c r="K395" i="457"/>
  <c r="K393" i="457"/>
  <c r="K392" i="457"/>
  <c r="K386" i="457"/>
  <c r="K385" i="457"/>
  <c r="K381" i="457"/>
  <c r="K387" i="457" s="1"/>
  <c r="K373" i="457"/>
  <c r="K414" i="457" s="1"/>
  <c r="K352" i="457"/>
  <c r="K503" i="457"/>
  <c r="K505" i="457"/>
  <c r="K498" i="457"/>
  <c r="B15" i="460"/>
  <c r="B10" i="450"/>
  <c r="C10" i="450" s="1"/>
  <c r="C328" i="452"/>
  <c r="L328" i="457" s="1"/>
  <c r="M328" i="457" s="1"/>
  <c r="C327" i="452"/>
  <c r="L327" i="457" s="1"/>
  <c r="M327" i="457" s="1"/>
  <c r="C326" i="452"/>
  <c r="L326" i="457" s="1"/>
  <c r="M326" i="457" s="1"/>
  <c r="C325" i="452"/>
  <c r="D325" i="452" s="1"/>
  <c r="C11" i="460"/>
  <c r="D11" i="460" s="1"/>
  <c r="E11" i="460" s="1"/>
  <c r="F11" i="460" s="1"/>
  <c r="G11" i="460" s="1"/>
  <c r="H11" i="460" s="1"/>
  <c r="I11" i="460" s="1"/>
  <c r="J11" i="460" s="1"/>
  <c r="K11" i="460" s="1"/>
  <c r="L11" i="460" s="1"/>
  <c r="M11" i="460" s="1"/>
  <c r="N11" i="460" s="1"/>
  <c r="B16" i="460"/>
  <c r="B17" i="460"/>
  <c r="N18" i="460"/>
  <c r="B18" i="460" s="1"/>
  <c r="B30" i="460"/>
  <c r="B31" i="460"/>
  <c r="C37" i="460"/>
  <c r="A6" i="458"/>
  <c r="A7" i="458"/>
  <c r="E10" i="458"/>
  <c r="E17" i="458" s="1"/>
  <c r="B28" i="458"/>
  <c r="L6" i="457"/>
  <c r="L7" i="457"/>
  <c r="L8" i="457" s="1"/>
  <c r="L479" i="457" s="1"/>
  <c r="C435" i="457"/>
  <c r="C480" i="457" s="1"/>
  <c r="J494" i="457"/>
  <c r="E438" i="457"/>
  <c r="E484" i="457" s="1"/>
  <c r="E486" i="457" s="1"/>
  <c r="H438" i="457"/>
  <c r="C545" i="457"/>
  <c r="H497" i="457"/>
  <c r="J497" i="457"/>
  <c r="H498" i="457"/>
  <c r="D498" i="457"/>
  <c r="E498" i="457"/>
  <c r="F498" i="457"/>
  <c r="G498" i="457"/>
  <c r="J498" i="457"/>
  <c r="C505" i="457"/>
  <c r="D505" i="457"/>
  <c r="E505" i="457"/>
  <c r="F505" i="457"/>
  <c r="G505" i="457"/>
  <c r="H505" i="457"/>
  <c r="I505" i="457"/>
  <c r="J505" i="457"/>
  <c r="L333" i="457"/>
  <c r="M333" i="457" s="1"/>
  <c r="C503" i="457"/>
  <c r="D503" i="457"/>
  <c r="E503" i="457"/>
  <c r="F503" i="457"/>
  <c r="H503" i="457"/>
  <c r="J503" i="457"/>
  <c r="C350" i="457"/>
  <c r="D350" i="457"/>
  <c r="E350" i="457"/>
  <c r="F350" i="457"/>
  <c r="C352" i="457"/>
  <c r="D352" i="457"/>
  <c r="G352" i="457"/>
  <c r="I352" i="457"/>
  <c r="J352" i="457"/>
  <c r="E358" i="457"/>
  <c r="E352" i="457" s="1"/>
  <c r="F358" i="457"/>
  <c r="F352" i="457" s="1"/>
  <c r="H358" i="457"/>
  <c r="H352" i="457" s="1"/>
  <c r="L358" i="457"/>
  <c r="M358" i="457" s="1"/>
  <c r="B363" i="457"/>
  <c r="B364" i="457"/>
  <c r="B365" i="457"/>
  <c r="F365" i="457"/>
  <c r="B366" i="457"/>
  <c r="E366" i="457"/>
  <c r="B367" i="457"/>
  <c r="C367" i="457"/>
  <c r="C415" i="457" s="1"/>
  <c r="C489" i="457" s="1"/>
  <c r="D367" i="457"/>
  <c r="B368" i="457"/>
  <c r="B369" i="457"/>
  <c r="E369" i="457"/>
  <c r="E370" i="457" s="1"/>
  <c r="E386" i="457" s="1"/>
  <c r="B370" i="457"/>
  <c r="C370" i="457"/>
  <c r="C386" i="457" s="1"/>
  <c r="D370" i="457"/>
  <c r="D396" i="457" s="1"/>
  <c r="F370" i="457"/>
  <c r="B371" i="457"/>
  <c r="G371" i="457"/>
  <c r="G413" i="457" s="1"/>
  <c r="B372" i="457"/>
  <c r="D372" i="457"/>
  <c r="F372" i="457"/>
  <c r="G372" i="457"/>
  <c r="H372" i="457"/>
  <c r="H373" i="457" s="1"/>
  <c r="H414" i="457" s="1"/>
  <c r="I372" i="457"/>
  <c r="I373" i="457" s="1"/>
  <c r="I414" i="457" s="1"/>
  <c r="J373" i="457"/>
  <c r="J414" i="457" s="1"/>
  <c r="B373" i="457"/>
  <c r="B375" i="457"/>
  <c r="C381" i="457"/>
  <c r="D381" i="457"/>
  <c r="E381" i="457"/>
  <c r="F381" i="457"/>
  <c r="G381" i="457"/>
  <c r="H381" i="457"/>
  <c r="I381" i="457"/>
  <c r="J381" i="457"/>
  <c r="J387" i="457" s="1"/>
  <c r="L381" i="457"/>
  <c r="E385" i="457"/>
  <c r="F385" i="457"/>
  <c r="G385" i="457"/>
  <c r="H385" i="457"/>
  <c r="I385" i="457"/>
  <c r="J385" i="457"/>
  <c r="G386" i="457"/>
  <c r="H386" i="457"/>
  <c r="I386" i="457"/>
  <c r="J386" i="457"/>
  <c r="C392" i="457"/>
  <c r="D392" i="457"/>
  <c r="E392" i="457"/>
  <c r="F392" i="457"/>
  <c r="G392" i="457"/>
  <c r="H392" i="457"/>
  <c r="I392" i="457"/>
  <c r="J392" i="457"/>
  <c r="L392" i="457"/>
  <c r="E393" i="457"/>
  <c r="E491" i="457" s="1"/>
  <c r="F393" i="457"/>
  <c r="F491" i="457" s="1"/>
  <c r="G393" i="457"/>
  <c r="G491" i="457" s="1"/>
  <c r="H393" i="457"/>
  <c r="I393" i="457"/>
  <c r="J393" i="457"/>
  <c r="J491" i="457" s="1"/>
  <c r="C395" i="457"/>
  <c r="D395" i="457"/>
  <c r="E395" i="457"/>
  <c r="F395" i="457"/>
  <c r="G395" i="457"/>
  <c r="H395" i="457"/>
  <c r="I395" i="457"/>
  <c r="J395" i="457"/>
  <c r="G396" i="457"/>
  <c r="H396" i="457"/>
  <c r="I396" i="457"/>
  <c r="J396" i="457"/>
  <c r="C409" i="457"/>
  <c r="D409" i="457"/>
  <c r="E409" i="457"/>
  <c r="F409" i="457"/>
  <c r="G409" i="457"/>
  <c r="H409" i="457"/>
  <c r="I409" i="457"/>
  <c r="J409" i="457"/>
  <c r="I411" i="457"/>
  <c r="H413" i="457"/>
  <c r="I413" i="457"/>
  <c r="J413" i="457"/>
  <c r="E415" i="457"/>
  <c r="E489" i="457" s="1"/>
  <c r="F415" i="457"/>
  <c r="F489" i="457" s="1"/>
  <c r="G415" i="457"/>
  <c r="G489" i="457" s="1"/>
  <c r="H415" i="457"/>
  <c r="H489" i="457" s="1"/>
  <c r="I415" i="457"/>
  <c r="I489" i="457" s="1"/>
  <c r="J415" i="457"/>
  <c r="J489" i="457" s="1"/>
  <c r="C418" i="457"/>
  <c r="D418" i="457"/>
  <c r="E418" i="457"/>
  <c r="F418" i="457"/>
  <c r="G418" i="457"/>
  <c r="H418" i="457"/>
  <c r="I418" i="457"/>
  <c r="J418" i="457"/>
  <c r="C426" i="457"/>
  <c r="D426" i="457"/>
  <c r="E426" i="457"/>
  <c r="F426" i="457"/>
  <c r="G426" i="457"/>
  <c r="H426" i="457"/>
  <c r="I426" i="457"/>
  <c r="J426" i="457"/>
  <c r="C434" i="457"/>
  <c r="D434" i="457"/>
  <c r="E434" i="457"/>
  <c r="F434" i="457"/>
  <c r="G434" i="457"/>
  <c r="H434" i="457"/>
  <c r="I434" i="457"/>
  <c r="J434" i="457"/>
  <c r="I438" i="457"/>
  <c r="C444" i="457"/>
  <c r="D444" i="457"/>
  <c r="E444" i="457"/>
  <c r="F444" i="457"/>
  <c r="G444" i="457"/>
  <c r="H444" i="457"/>
  <c r="I444" i="457"/>
  <c r="J444" i="457"/>
  <c r="C449" i="457"/>
  <c r="D449" i="457"/>
  <c r="E449" i="457"/>
  <c r="F449" i="457"/>
  <c r="G449" i="457"/>
  <c r="H449" i="457"/>
  <c r="I449" i="457"/>
  <c r="J449" i="457"/>
  <c r="C453" i="457"/>
  <c r="D453" i="457"/>
  <c r="E453" i="457"/>
  <c r="F453" i="457"/>
  <c r="G453" i="457"/>
  <c r="H453" i="457"/>
  <c r="I453" i="457"/>
  <c r="J453" i="457"/>
  <c r="J461" i="457"/>
  <c r="C479" i="457"/>
  <c r="D479" i="457"/>
  <c r="E479" i="457"/>
  <c r="F479" i="457"/>
  <c r="G479" i="457"/>
  <c r="H479" i="457"/>
  <c r="I479" i="457"/>
  <c r="J479" i="457"/>
  <c r="C494" i="457"/>
  <c r="D501" i="457"/>
  <c r="E501" i="457"/>
  <c r="F501" i="457"/>
  <c r="G501" i="457"/>
  <c r="H501" i="457"/>
  <c r="I501" i="457"/>
  <c r="J501" i="457"/>
  <c r="D502" i="457"/>
  <c r="E502" i="457"/>
  <c r="F502" i="457"/>
  <c r="G502" i="457"/>
  <c r="H502" i="457"/>
  <c r="I502" i="457"/>
  <c r="J502" i="457"/>
  <c r="G503" i="457"/>
  <c r="I503" i="457"/>
  <c r="C507" i="457"/>
  <c r="D507" i="457"/>
  <c r="E507" i="457"/>
  <c r="F507" i="457"/>
  <c r="G507" i="457"/>
  <c r="H507" i="457"/>
  <c r="I507" i="457"/>
  <c r="J507" i="457"/>
  <c r="C537" i="457"/>
  <c r="D537" i="457"/>
  <c r="E537" i="457"/>
  <c r="F537" i="457"/>
  <c r="G537" i="457"/>
  <c r="H537" i="457"/>
  <c r="I537" i="457"/>
  <c r="J537" i="457"/>
  <c r="C574" i="457"/>
  <c r="D574" i="457"/>
  <c r="E574" i="457"/>
  <c r="F574" i="457"/>
  <c r="G574" i="457"/>
  <c r="H574" i="457"/>
  <c r="I574" i="457"/>
  <c r="J574" i="457"/>
  <c r="C580" i="457"/>
  <c r="D580" i="457"/>
  <c r="E580" i="457"/>
  <c r="F580" i="457"/>
  <c r="G580" i="457"/>
  <c r="H580" i="457"/>
  <c r="I580" i="457"/>
  <c r="J580" i="457"/>
  <c r="N580" i="457"/>
  <c r="C586" i="457"/>
  <c r="D586" i="457"/>
  <c r="E586" i="457"/>
  <c r="F586" i="457"/>
  <c r="G586" i="457"/>
  <c r="H586" i="457"/>
  <c r="I586" i="457"/>
  <c r="J586" i="457"/>
  <c r="C587" i="457"/>
  <c r="D587" i="457"/>
  <c r="E587" i="457"/>
  <c r="F587" i="457"/>
  <c r="G587" i="457"/>
  <c r="H587" i="457"/>
  <c r="I587" i="457"/>
  <c r="J587" i="457"/>
  <c r="B17" i="456"/>
  <c r="B19" i="456"/>
  <c r="C5" i="454"/>
  <c r="E6" i="458" s="1"/>
  <c r="C6" i="454"/>
  <c r="C346" i="452" s="1"/>
  <c r="L346" i="457" s="1"/>
  <c r="M346" i="457" s="1"/>
  <c r="C21" i="454"/>
  <c r="AG9" i="453"/>
  <c r="AJ9" i="453"/>
  <c r="AD9" i="453" s="1"/>
  <c r="AR9" i="453"/>
  <c r="AS9" i="453"/>
  <c r="BI9" i="453"/>
  <c r="AG12" i="453"/>
  <c r="AJ12" i="453"/>
  <c r="AR12" i="453"/>
  <c r="AS12" i="453"/>
  <c r="BI12" i="453"/>
  <c r="AG13" i="453"/>
  <c r="AJ13" i="453"/>
  <c r="AD13" i="453" s="1"/>
  <c r="AR13" i="453"/>
  <c r="AS13" i="453"/>
  <c r="BI13" i="453"/>
  <c r="AG14" i="453"/>
  <c r="AJ14" i="453"/>
  <c r="AD14" i="453" s="1"/>
  <c r="AR14" i="453"/>
  <c r="AS14" i="453"/>
  <c r="BI14" i="453"/>
  <c r="AG16" i="453"/>
  <c r="AJ16" i="453"/>
  <c r="AD16" i="453" s="1"/>
  <c r="AR16" i="453"/>
  <c r="AS16" i="453"/>
  <c r="BI16" i="453"/>
  <c r="AG17" i="453"/>
  <c r="AJ17" i="453"/>
  <c r="AD17" i="453" s="1"/>
  <c r="AR17" i="453"/>
  <c r="AS17" i="453"/>
  <c r="BI17" i="453"/>
  <c r="AG18" i="453"/>
  <c r="AJ18" i="453"/>
  <c r="AD18" i="453" s="1"/>
  <c r="AR18" i="453"/>
  <c r="AS18" i="453"/>
  <c r="BI18" i="453"/>
  <c r="AG19" i="453"/>
  <c r="AJ19" i="453"/>
  <c r="AD19" i="453" s="1"/>
  <c r="AR19" i="453"/>
  <c r="AS19" i="453"/>
  <c r="BI19" i="453"/>
  <c r="AG20" i="453"/>
  <c r="AJ20" i="453"/>
  <c r="AD20" i="453" s="1"/>
  <c r="AR20" i="453"/>
  <c r="AS20" i="453"/>
  <c r="BI20" i="453"/>
  <c r="AG21" i="453"/>
  <c r="AJ21" i="453"/>
  <c r="AD21" i="453" s="1"/>
  <c r="AR21" i="453"/>
  <c r="AS21" i="453"/>
  <c r="BI21" i="453"/>
  <c r="AG22" i="453"/>
  <c r="AJ22" i="453"/>
  <c r="AD22" i="453" s="1"/>
  <c r="AR22" i="453"/>
  <c r="AS22" i="453"/>
  <c r="BI22" i="453"/>
  <c r="AG23" i="453"/>
  <c r="AJ23" i="453"/>
  <c r="AD23" i="453" s="1"/>
  <c r="AR23" i="453"/>
  <c r="AS23" i="453"/>
  <c r="BI23" i="453"/>
  <c r="AG24" i="453"/>
  <c r="AJ24" i="453"/>
  <c r="AD24" i="453" s="1"/>
  <c r="AR24" i="453"/>
  <c r="AS24" i="453"/>
  <c r="BI24" i="453"/>
  <c r="AG28" i="453"/>
  <c r="AJ28" i="453"/>
  <c r="AD28" i="453" s="1"/>
  <c r="AR28" i="453"/>
  <c r="AS28" i="453"/>
  <c r="BI28" i="453"/>
  <c r="AG15" i="453"/>
  <c r="AJ15" i="453"/>
  <c r="AD15" i="453" s="1"/>
  <c r="AR15" i="453"/>
  <c r="AS15" i="453"/>
  <c r="BI15" i="453"/>
  <c r="AG26" i="453"/>
  <c r="AJ26" i="453"/>
  <c r="AD26" i="453" s="1"/>
  <c r="AR26" i="453"/>
  <c r="AS26" i="453"/>
  <c r="AG11" i="453"/>
  <c r="AJ11" i="453"/>
  <c r="AD11" i="453" s="1"/>
  <c r="AR11" i="453"/>
  <c r="AS11" i="453"/>
  <c r="AG25" i="453"/>
  <c r="AJ25" i="453"/>
  <c r="AD25" i="453" s="1"/>
  <c r="AR25" i="453"/>
  <c r="AS25" i="453"/>
  <c r="AG27" i="453"/>
  <c r="AJ27" i="453"/>
  <c r="AD27" i="453" s="1"/>
  <c r="AR27" i="453"/>
  <c r="AS27" i="453"/>
  <c r="BI27" i="453"/>
  <c r="AC29" i="453"/>
  <c r="AD29" i="453"/>
  <c r="BI29" i="453"/>
  <c r="AC30" i="453"/>
  <c r="AD30" i="453"/>
  <c r="AI30" i="453"/>
  <c r="AK30" i="453" s="1"/>
  <c r="BI30" i="453"/>
  <c r="AC33" i="453"/>
  <c r="AD33" i="453"/>
  <c r="AI33" i="453"/>
  <c r="AK33" i="453" s="1"/>
  <c r="BI33" i="453"/>
  <c r="AC32" i="453"/>
  <c r="AD32" i="453"/>
  <c r="AI32" i="453"/>
  <c r="AK32" i="453" s="1"/>
  <c r="BI32" i="453"/>
  <c r="AC31" i="453"/>
  <c r="AD31" i="453"/>
  <c r="AI31" i="453"/>
  <c r="AK31" i="453" s="1"/>
  <c r="BI31" i="453"/>
  <c r="S35" i="453"/>
  <c r="T35" i="453"/>
  <c r="U35" i="453"/>
  <c r="W35" i="453"/>
  <c r="X35" i="453"/>
  <c r="Z35" i="453"/>
  <c r="AA35" i="453"/>
  <c r="S36" i="453"/>
  <c r="T36" i="453"/>
  <c r="U36" i="453"/>
  <c r="W36" i="453"/>
  <c r="X36" i="453"/>
  <c r="Z36" i="453"/>
  <c r="AA36" i="453"/>
  <c r="G13" i="452"/>
  <c r="F13" i="452" s="1"/>
  <c r="G14" i="452"/>
  <c r="F14" i="452" s="1"/>
  <c r="G12" i="452"/>
  <c r="F12" i="452" s="1"/>
  <c r="D26" i="452"/>
  <c r="F40" i="452"/>
  <c r="F48" i="452"/>
  <c r="F51" i="452"/>
  <c r="F52" i="452"/>
  <c r="F64" i="452"/>
  <c r="F66" i="452"/>
  <c r="F67" i="452"/>
  <c r="F55" i="452"/>
  <c r="F87" i="452"/>
  <c r="F95" i="452"/>
  <c r="F89" i="452"/>
  <c r="D148" i="452"/>
  <c r="D149" i="452"/>
  <c r="D150" i="452"/>
  <c r="D167" i="452"/>
  <c r="D173" i="452"/>
  <c r="D174" i="452"/>
  <c r="D175" i="452"/>
  <c r="D177" i="452"/>
  <c r="D178" i="452"/>
  <c r="D179" i="452"/>
  <c r="D180" i="452"/>
  <c r="D181" i="452"/>
  <c r="D182" i="452"/>
  <c r="D183" i="452"/>
  <c r="D184" i="452"/>
  <c r="D185" i="452"/>
  <c r="D186" i="452"/>
  <c r="D192" i="452"/>
  <c r="D193" i="452"/>
  <c r="D194" i="452"/>
  <c r="D195" i="452"/>
  <c r="D196" i="452"/>
  <c r="D197" i="452"/>
  <c r="D198" i="452"/>
  <c r="D199" i="452"/>
  <c r="D200" i="452"/>
  <c r="D201" i="452"/>
  <c r="D202" i="452"/>
  <c r="D203" i="452"/>
  <c r="D204" i="452"/>
  <c r="D205" i="452"/>
  <c r="D206" i="452"/>
  <c r="D211" i="452"/>
  <c r="D212" i="452"/>
  <c r="D213" i="452"/>
  <c r="D214" i="452"/>
  <c r="D215" i="452"/>
  <c r="D216" i="452"/>
  <c r="D217" i="452"/>
  <c r="D218" i="452"/>
  <c r="D219" i="452"/>
  <c r="D220" i="452"/>
  <c r="D221" i="452"/>
  <c r="D222" i="452"/>
  <c r="D223" i="452"/>
  <c r="D224" i="452"/>
  <c r="D225" i="452"/>
  <c r="D226" i="452"/>
  <c r="D227" i="452"/>
  <c r="D228" i="452"/>
  <c r="D229" i="452"/>
  <c r="D234" i="452"/>
  <c r="D235" i="452"/>
  <c r="D236" i="452"/>
  <c r="D237" i="452"/>
  <c r="D239" i="452"/>
  <c r="D240" i="452"/>
  <c r="D241" i="452"/>
  <c r="D242" i="452"/>
  <c r="D243" i="452"/>
  <c r="D244" i="452"/>
  <c r="D245" i="452"/>
  <c r="D246" i="452"/>
  <c r="D247" i="452"/>
  <c r="D248" i="452"/>
  <c r="D249" i="452"/>
  <c r="D250" i="452"/>
  <c r="D251" i="452"/>
  <c r="D252" i="452"/>
  <c r="D253" i="452"/>
  <c r="D254" i="452"/>
  <c r="D255" i="452"/>
  <c r="D256" i="452"/>
  <c r="D257" i="452"/>
  <c r="D258" i="452"/>
  <c r="D259" i="452"/>
  <c r="D260" i="452"/>
  <c r="D261" i="452"/>
  <c r="D262" i="452"/>
  <c r="D263" i="452"/>
  <c r="D264" i="452"/>
  <c r="D265" i="452"/>
  <c r="D270" i="452"/>
  <c r="D271" i="452"/>
  <c r="D272" i="452"/>
  <c r="D273" i="452"/>
  <c r="D274" i="452"/>
  <c r="D275" i="452"/>
  <c r="D276" i="452"/>
  <c r="D281" i="452"/>
  <c r="D282" i="452"/>
  <c r="D283" i="452"/>
  <c r="D284" i="452"/>
  <c r="D285" i="452"/>
  <c r="D286" i="452"/>
  <c r="D287" i="452"/>
  <c r="D288" i="452"/>
  <c r="D293" i="452"/>
  <c r="D294" i="452"/>
  <c r="D295" i="452"/>
  <c r="D296" i="452"/>
  <c r="D297" i="452"/>
  <c r="D298" i="452"/>
  <c r="D299" i="452"/>
  <c r="D300" i="452"/>
  <c r="D301" i="452"/>
  <c r="D302" i="452"/>
  <c r="D303" i="452"/>
  <c r="D304" i="452"/>
  <c r="D306" i="452"/>
  <c r="D307" i="452"/>
  <c r="D308" i="452"/>
  <c r="D309" i="452"/>
  <c r="D310" i="452"/>
  <c r="D17" i="451"/>
  <c r="E17" i="451"/>
  <c r="J40" i="445"/>
  <c r="O49" i="445"/>
  <c r="C49" i="447" s="1"/>
  <c r="L49" i="445"/>
  <c r="K10" i="445"/>
  <c r="O33" i="445"/>
  <c r="D33" i="446" s="1"/>
  <c r="C33" i="447"/>
  <c r="J10" i="445"/>
  <c r="M10" i="445"/>
  <c r="N10" i="445"/>
  <c r="G10" i="445"/>
  <c r="H10" i="445"/>
  <c r="F10" i="445"/>
  <c r="E13" i="445"/>
  <c r="O14" i="445"/>
  <c r="J39" i="446"/>
  <c r="J101" i="446" s="1"/>
  <c r="J100" i="446"/>
  <c r="J34" i="446"/>
  <c r="J36" i="446" s="1"/>
  <c r="J30" i="446" s="1"/>
  <c r="J42" i="446"/>
  <c r="J12" i="446"/>
  <c r="J88" i="446" s="1"/>
  <c r="J15" i="446"/>
  <c r="J111" i="446"/>
  <c r="J110" i="446"/>
  <c r="J94" i="446"/>
  <c r="J93" i="446"/>
  <c r="J25" i="446"/>
  <c r="J71" i="446"/>
  <c r="J68" i="446"/>
  <c r="J49" i="446"/>
  <c r="J40" i="446"/>
  <c r="I39" i="446"/>
  <c r="I101" i="446" s="1"/>
  <c r="I100" i="446"/>
  <c r="I34" i="446"/>
  <c r="I36" i="446" s="1"/>
  <c r="I42" i="446"/>
  <c r="I95" i="446" s="1"/>
  <c r="I112" i="446"/>
  <c r="I12" i="446"/>
  <c r="I61" i="446" s="1"/>
  <c r="I15" i="446"/>
  <c r="I111" i="446"/>
  <c r="I110" i="446"/>
  <c r="I94" i="446"/>
  <c r="I93" i="446"/>
  <c r="I25" i="446"/>
  <c r="I80" i="446"/>
  <c r="I71" i="446"/>
  <c r="I68" i="446"/>
  <c r="I49" i="446"/>
  <c r="I40" i="446"/>
  <c r="P69" i="445"/>
  <c r="H39" i="446"/>
  <c r="H101" i="446" s="1"/>
  <c r="H100" i="446"/>
  <c r="H34" i="446"/>
  <c r="H36" i="446" s="1"/>
  <c r="H30" i="446" s="1"/>
  <c r="H42" i="446"/>
  <c r="H112" i="446" s="1"/>
  <c r="H12" i="446"/>
  <c r="H61" i="446" s="1"/>
  <c r="H15" i="446"/>
  <c r="H111" i="446"/>
  <c r="H110" i="446"/>
  <c r="H94" i="446"/>
  <c r="H93" i="446"/>
  <c r="H25" i="446"/>
  <c r="H80" i="446" s="1"/>
  <c r="H71" i="446"/>
  <c r="H68" i="446"/>
  <c r="H49" i="446"/>
  <c r="H40" i="446"/>
  <c r="Q19" i="445"/>
  <c r="R19" i="445" s="1"/>
  <c r="C10" i="445"/>
  <c r="D10" i="445"/>
  <c r="E10" i="445"/>
  <c r="K3" i="447"/>
  <c r="D3" i="447"/>
  <c r="L3" i="447" s="1"/>
  <c r="E3" i="447"/>
  <c r="M3" i="447" s="1"/>
  <c r="O9" i="445"/>
  <c r="E9" i="447"/>
  <c r="E10" i="447"/>
  <c r="E11" i="447"/>
  <c r="O12" i="445"/>
  <c r="C13" i="445"/>
  <c r="D13" i="445"/>
  <c r="F13" i="445"/>
  <c r="G13" i="445"/>
  <c r="H13" i="445"/>
  <c r="I13" i="445"/>
  <c r="J13" i="445"/>
  <c r="K13" i="445"/>
  <c r="L13" i="445"/>
  <c r="M13" i="445"/>
  <c r="N13" i="445"/>
  <c r="E14" i="447"/>
  <c r="O15" i="445"/>
  <c r="O75" i="445" s="1"/>
  <c r="M75" i="446" s="1"/>
  <c r="G87" i="445"/>
  <c r="H23" i="445"/>
  <c r="I17" i="445"/>
  <c r="J17" i="445"/>
  <c r="K17" i="445"/>
  <c r="L17" i="445"/>
  <c r="M17" i="445"/>
  <c r="N17" i="445"/>
  <c r="E19" i="447"/>
  <c r="E23" i="447"/>
  <c r="O24" i="445"/>
  <c r="E24" i="447"/>
  <c r="I86" i="445"/>
  <c r="J86" i="445"/>
  <c r="M86" i="445"/>
  <c r="N86" i="445"/>
  <c r="D25" i="447"/>
  <c r="E25" i="447"/>
  <c r="O31" i="445"/>
  <c r="O32" i="445"/>
  <c r="C32" i="447" s="1"/>
  <c r="O35" i="445"/>
  <c r="C35" i="447" s="1"/>
  <c r="P34" i="445"/>
  <c r="E31" i="447"/>
  <c r="E32" i="447"/>
  <c r="E33" i="447"/>
  <c r="E35" i="447"/>
  <c r="O37" i="445"/>
  <c r="C37" i="447" s="1"/>
  <c r="E37" i="447"/>
  <c r="E38" i="447"/>
  <c r="O38" i="445"/>
  <c r="C39" i="445"/>
  <c r="C101" i="445" s="1"/>
  <c r="D39" i="445"/>
  <c r="E39" i="445"/>
  <c r="E101" i="445" s="1"/>
  <c r="E102" i="445" s="1"/>
  <c r="E131" i="445" s="1"/>
  <c r="F39" i="445"/>
  <c r="F101" i="445" s="1"/>
  <c r="G39" i="445"/>
  <c r="G101" i="445" s="1"/>
  <c r="G102" i="445" s="1"/>
  <c r="H39" i="445"/>
  <c r="H101" i="445" s="1"/>
  <c r="I39" i="445"/>
  <c r="I101" i="445" s="1"/>
  <c r="J39" i="445"/>
  <c r="K39" i="445"/>
  <c r="K101" i="445" s="1"/>
  <c r="L39" i="445"/>
  <c r="L101" i="445" s="1"/>
  <c r="M39" i="445"/>
  <c r="M101" i="445" s="1"/>
  <c r="N39" i="445"/>
  <c r="P39" i="445"/>
  <c r="C40" i="445"/>
  <c r="D40" i="445"/>
  <c r="E40" i="445"/>
  <c r="F40" i="445"/>
  <c r="G40" i="445"/>
  <c r="H40" i="445"/>
  <c r="I40" i="445"/>
  <c r="K40" i="445"/>
  <c r="L40" i="445"/>
  <c r="M40" i="445"/>
  <c r="N40" i="445"/>
  <c r="E40" i="447"/>
  <c r="O41" i="445"/>
  <c r="M41" i="446" s="1"/>
  <c r="E41" i="447"/>
  <c r="C42" i="445"/>
  <c r="C95" i="445" s="1"/>
  <c r="D42" i="445"/>
  <c r="D112" i="445" s="1"/>
  <c r="E42" i="445"/>
  <c r="E112" i="445" s="1"/>
  <c r="F42" i="445"/>
  <c r="F95" i="445" s="1"/>
  <c r="G42" i="445"/>
  <c r="H42" i="445"/>
  <c r="H95" i="445" s="1"/>
  <c r="I42" i="445"/>
  <c r="J42" i="445"/>
  <c r="K42" i="445"/>
  <c r="K95" i="445"/>
  <c r="L42" i="445"/>
  <c r="M42" i="445"/>
  <c r="N42" i="445"/>
  <c r="P42" i="445"/>
  <c r="E42" i="447"/>
  <c r="C34" i="445"/>
  <c r="C36" i="445" s="1"/>
  <c r="D34" i="445"/>
  <c r="D36" i="445" s="1"/>
  <c r="D30" i="445" s="1"/>
  <c r="E34" i="445"/>
  <c r="E36" i="445" s="1"/>
  <c r="E30" i="445" s="1"/>
  <c r="F34" i="445"/>
  <c r="F36" i="445" s="1"/>
  <c r="G34" i="445"/>
  <c r="G36" i="445" s="1"/>
  <c r="G30" i="445" s="1"/>
  <c r="H34" i="445"/>
  <c r="H36" i="445" s="1"/>
  <c r="I34" i="445"/>
  <c r="I36" i="445"/>
  <c r="J34" i="445"/>
  <c r="J36" i="445" s="1"/>
  <c r="K34" i="445"/>
  <c r="K36" i="445" s="1"/>
  <c r="K106" i="445" s="1"/>
  <c r="K104" i="445" s="1"/>
  <c r="L34" i="445"/>
  <c r="L36" i="445" s="1"/>
  <c r="L30" i="445" s="1"/>
  <c r="M34" i="445"/>
  <c r="M36" i="445"/>
  <c r="M43" i="445" s="1"/>
  <c r="M121" i="445" s="1"/>
  <c r="N34" i="445"/>
  <c r="N36" i="445" s="1"/>
  <c r="N130" i="445" s="1"/>
  <c r="C48" i="447"/>
  <c r="E48" i="447"/>
  <c r="C51" i="447"/>
  <c r="C52" i="447"/>
  <c r="C53" i="447"/>
  <c r="C54" i="447"/>
  <c r="D54" i="447" s="1"/>
  <c r="P49" i="445"/>
  <c r="E49" i="447" s="1"/>
  <c r="E50" i="447"/>
  <c r="E51" i="447"/>
  <c r="E52" i="447"/>
  <c r="E53" i="447"/>
  <c r="E54" i="447"/>
  <c r="E55" i="447"/>
  <c r="D5" i="446"/>
  <c r="N6" i="446"/>
  <c r="C12" i="446"/>
  <c r="E12" i="446"/>
  <c r="F12" i="446"/>
  <c r="G12" i="446"/>
  <c r="G61" i="446" s="1"/>
  <c r="M12" i="446"/>
  <c r="C15" i="446"/>
  <c r="C62" i="446" s="1"/>
  <c r="E15" i="446"/>
  <c r="E62" i="446" s="1"/>
  <c r="F15" i="446"/>
  <c r="F72" i="446" s="1"/>
  <c r="G15" i="446"/>
  <c r="G72" i="446" s="1"/>
  <c r="D18" i="446"/>
  <c r="N23" i="446"/>
  <c r="N24" i="446"/>
  <c r="C25" i="446"/>
  <c r="C80" i="446" s="1"/>
  <c r="E25" i="446"/>
  <c r="F25" i="446"/>
  <c r="F80" i="446" s="1"/>
  <c r="G25" i="446"/>
  <c r="G80" i="446" s="1"/>
  <c r="Q25" i="445"/>
  <c r="N25" i="446" s="1"/>
  <c r="C34" i="446"/>
  <c r="C36" i="446" s="1"/>
  <c r="C106" i="446" s="1"/>
  <c r="E34" i="446"/>
  <c r="E36" i="446" s="1"/>
  <c r="F34" i="446"/>
  <c r="F36" i="446"/>
  <c r="F30" i="446" s="1"/>
  <c r="G34" i="446"/>
  <c r="G36" i="446"/>
  <c r="G130" i="446" s="1"/>
  <c r="C39" i="446"/>
  <c r="C101" i="446" s="1"/>
  <c r="E39" i="446"/>
  <c r="E101" i="446" s="1"/>
  <c r="F39" i="446"/>
  <c r="F101" i="446" s="1"/>
  <c r="G39" i="446"/>
  <c r="G101" i="446" s="1"/>
  <c r="C40" i="446"/>
  <c r="E40" i="446"/>
  <c r="F40" i="446"/>
  <c r="G40" i="446"/>
  <c r="C42" i="446"/>
  <c r="C112" i="446" s="1"/>
  <c r="E42" i="446"/>
  <c r="F42" i="446"/>
  <c r="F112" i="446" s="1"/>
  <c r="G42" i="446"/>
  <c r="G95" i="446" s="1"/>
  <c r="D47" i="446"/>
  <c r="D48" i="446"/>
  <c r="M48" i="446"/>
  <c r="C49" i="446"/>
  <c r="D51" i="446"/>
  <c r="D52" i="446"/>
  <c r="D53" i="446"/>
  <c r="D54" i="446"/>
  <c r="E49" i="446"/>
  <c r="F55" i="446"/>
  <c r="F49" i="446" s="1"/>
  <c r="G49" i="446"/>
  <c r="M50" i="446"/>
  <c r="M51" i="446"/>
  <c r="M52" i="446"/>
  <c r="M53" i="446"/>
  <c r="M54" i="446"/>
  <c r="M55" i="446"/>
  <c r="N50" i="446"/>
  <c r="N51" i="446"/>
  <c r="N53" i="446"/>
  <c r="N54" i="446"/>
  <c r="N55" i="446"/>
  <c r="C69" i="446"/>
  <c r="C68" i="446"/>
  <c r="E68" i="446"/>
  <c r="F68" i="446"/>
  <c r="G69" i="446"/>
  <c r="G68" i="446"/>
  <c r="C71" i="446"/>
  <c r="E71" i="446"/>
  <c r="F71" i="446"/>
  <c r="G71" i="446"/>
  <c r="G75" i="446"/>
  <c r="C100" i="446"/>
  <c r="E100" i="446"/>
  <c r="F100" i="446"/>
  <c r="G100" i="446"/>
  <c r="C100" i="445"/>
  <c r="D100" i="445"/>
  <c r="E100" i="445"/>
  <c r="F100" i="445"/>
  <c r="G100" i="445"/>
  <c r="H100" i="445"/>
  <c r="I100" i="445"/>
  <c r="J100" i="445"/>
  <c r="J102" i="445" s="1"/>
  <c r="K100" i="445"/>
  <c r="L100" i="445"/>
  <c r="M100" i="445"/>
  <c r="N100" i="445"/>
  <c r="D101" i="445"/>
  <c r="D102" i="445" s="1"/>
  <c r="J101" i="445"/>
  <c r="N101" i="445"/>
  <c r="N102" i="445" s="1"/>
  <c r="G88" i="446"/>
  <c r="C93" i="446"/>
  <c r="E93" i="446"/>
  <c r="F93" i="446"/>
  <c r="G93" i="446"/>
  <c r="C94" i="446"/>
  <c r="E94" i="446"/>
  <c r="F94" i="446"/>
  <c r="G94" i="446"/>
  <c r="C95" i="446"/>
  <c r="E95" i="446"/>
  <c r="C110" i="446"/>
  <c r="E110" i="446"/>
  <c r="F110" i="446"/>
  <c r="G110" i="446"/>
  <c r="C111" i="446"/>
  <c r="E111" i="446"/>
  <c r="F111" i="446"/>
  <c r="G111" i="446"/>
  <c r="E112" i="446"/>
  <c r="R25" i="445"/>
  <c r="M30" i="445"/>
  <c r="M44" i="445"/>
  <c r="C49" i="445"/>
  <c r="D49" i="445"/>
  <c r="E49" i="445"/>
  <c r="F49" i="445"/>
  <c r="G49" i="445"/>
  <c r="H49" i="445"/>
  <c r="I49" i="445"/>
  <c r="J49" i="445"/>
  <c r="K49" i="445"/>
  <c r="M49" i="445"/>
  <c r="N49" i="445"/>
  <c r="R49" i="445"/>
  <c r="C61" i="445"/>
  <c r="D61" i="445"/>
  <c r="E61" i="445"/>
  <c r="F61" i="445"/>
  <c r="G61" i="445"/>
  <c r="I61" i="445"/>
  <c r="J61" i="445"/>
  <c r="K61" i="445"/>
  <c r="L61" i="445"/>
  <c r="M61" i="445"/>
  <c r="N61" i="445"/>
  <c r="C62" i="445"/>
  <c r="D62" i="445"/>
  <c r="E62" i="445"/>
  <c r="F62" i="445"/>
  <c r="G62" i="445"/>
  <c r="I62" i="445"/>
  <c r="J62" i="445"/>
  <c r="K62" i="445"/>
  <c r="L62" i="445"/>
  <c r="M62" i="445"/>
  <c r="N62" i="445"/>
  <c r="C63" i="445"/>
  <c r="G63" i="445"/>
  <c r="I63" i="445"/>
  <c r="J63" i="445"/>
  <c r="K63" i="445"/>
  <c r="C69" i="445"/>
  <c r="C68" i="445"/>
  <c r="D69" i="445"/>
  <c r="D68" i="445"/>
  <c r="E69" i="445"/>
  <c r="E68" i="445"/>
  <c r="F69" i="445"/>
  <c r="F68" i="445"/>
  <c r="G69" i="445"/>
  <c r="G68" i="445"/>
  <c r="H69" i="445"/>
  <c r="I69" i="445"/>
  <c r="I67" i="445" s="1"/>
  <c r="I68" i="445"/>
  <c r="J69" i="445"/>
  <c r="J68" i="445"/>
  <c r="K69" i="445"/>
  <c r="K73" i="445" s="1"/>
  <c r="K68" i="445"/>
  <c r="K67" i="445" s="1"/>
  <c r="L69" i="445"/>
  <c r="L68" i="445"/>
  <c r="M69" i="445"/>
  <c r="M67" i="445" s="1"/>
  <c r="M68" i="445"/>
  <c r="N69" i="445"/>
  <c r="N68" i="445"/>
  <c r="N67" i="445" s="1"/>
  <c r="P68" i="445"/>
  <c r="C72" i="445"/>
  <c r="C71" i="445"/>
  <c r="D72" i="445"/>
  <c r="D71" i="445"/>
  <c r="E72" i="445"/>
  <c r="E71" i="445"/>
  <c r="F72" i="445"/>
  <c r="F71" i="445"/>
  <c r="G72" i="445"/>
  <c r="G71" i="445"/>
  <c r="H72" i="445"/>
  <c r="H70" i="445" s="1"/>
  <c r="H71" i="445"/>
  <c r="I72" i="445"/>
  <c r="I71" i="445"/>
  <c r="J72" i="445"/>
  <c r="J71" i="445"/>
  <c r="K72" i="445"/>
  <c r="K70" i="445" s="1"/>
  <c r="K71" i="445"/>
  <c r="L72" i="445"/>
  <c r="L71" i="445"/>
  <c r="M72" i="445"/>
  <c r="M71" i="445"/>
  <c r="N72" i="445"/>
  <c r="N73" i="445" s="1"/>
  <c r="N120" i="445" s="1"/>
  <c r="N70" i="445"/>
  <c r="N71" i="445"/>
  <c r="P71" i="445"/>
  <c r="P80" i="445" s="1"/>
  <c r="C75" i="445"/>
  <c r="D75" i="445"/>
  <c r="E75" i="445"/>
  <c r="F75" i="445"/>
  <c r="G75" i="445"/>
  <c r="H75" i="445"/>
  <c r="I75" i="445"/>
  <c r="J75" i="445"/>
  <c r="K75" i="445"/>
  <c r="L75" i="445"/>
  <c r="M75" i="445"/>
  <c r="N75" i="445"/>
  <c r="C81" i="445"/>
  <c r="C80" i="445"/>
  <c r="D81" i="445"/>
  <c r="D80" i="445"/>
  <c r="E81" i="445"/>
  <c r="E80" i="445"/>
  <c r="F81" i="445"/>
  <c r="F80" i="445"/>
  <c r="G81" i="445"/>
  <c r="G80" i="445"/>
  <c r="H81" i="445"/>
  <c r="H80" i="445"/>
  <c r="I81" i="445"/>
  <c r="I80" i="445"/>
  <c r="I79" i="445" s="1"/>
  <c r="J81" i="445"/>
  <c r="J80" i="445"/>
  <c r="K81" i="445"/>
  <c r="K80" i="445"/>
  <c r="L81" i="445"/>
  <c r="L80" i="445"/>
  <c r="M81" i="445"/>
  <c r="M80" i="445"/>
  <c r="N81" i="445"/>
  <c r="N80" i="445"/>
  <c r="P100" i="445"/>
  <c r="D86" i="445"/>
  <c r="E86" i="445"/>
  <c r="F86" i="445"/>
  <c r="G86" i="445"/>
  <c r="K86" i="445"/>
  <c r="L86" i="445"/>
  <c r="C87" i="445"/>
  <c r="H87" i="445"/>
  <c r="I87" i="445"/>
  <c r="J87" i="445"/>
  <c r="K87" i="445"/>
  <c r="C88" i="445"/>
  <c r="D88" i="445"/>
  <c r="E88" i="445"/>
  <c r="F88" i="445"/>
  <c r="G88" i="445"/>
  <c r="H88" i="445"/>
  <c r="I88" i="445"/>
  <c r="J88" i="445"/>
  <c r="K88" i="445"/>
  <c r="L88" i="445"/>
  <c r="M88" i="445"/>
  <c r="N88" i="445"/>
  <c r="D92" i="445"/>
  <c r="M92" i="445"/>
  <c r="N92" i="445"/>
  <c r="C93" i="445"/>
  <c r="D93" i="445"/>
  <c r="E93" i="445"/>
  <c r="F93" i="445"/>
  <c r="G93" i="445"/>
  <c r="H93" i="445"/>
  <c r="I93" i="445"/>
  <c r="J93" i="445"/>
  <c r="K93" i="445"/>
  <c r="L93" i="445"/>
  <c r="M93" i="445"/>
  <c r="N93" i="445"/>
  <c r="P93" i="445"/>
  <c r="C94" i="445"/>
  <c r="D94" i="445"/>
  <c r="E94" i="445"/>
  <c r="F94" i="445"/>
  <c r="G94" i="445"/>
  <c r="H94" i="445"/>
  <c r="I94" i="445"/>
  <c r="J94" i="445"/>
  <c r="K94" i="445"/>
  <c r="L94" i="445"/>
  <c r="M94" i="445"/>
  <c r="N94" i="445"/>
  <c r="P94" i="445"/>
  <c r="G95" i="445"/>
  <c r="I95" i="445"/>
  <c r="J95" i="445"/>
  <c r="L95" i="445"/>
  <c r="M95" i="445"/>
  <c r="N95" i="445"/>
  <c r="P95" i="445"/>
  <c r="M96" i="445"/>
  <c r="N96" i="445"/>
  <c r="E109" i="445"/>
  <c r="E125" i="445" s="1"/>
  <c r="G109" i="445"/>
  <c r="G125" i="445" s="1"/>
  <c r="I109" i="445"/>
  <c r="I125" i="445" s="1"/>
  <c r="K109" i="445"/>
  <c r="K125" i="445" s="1"/>
  <c r="M109" i="445"/>
  <c r="M125" i="445" s="1"/>
  <c r="N109" i="445"/>
  <c r="N125" i="445" s="1"/>
  <c r="C110" i="445"/>
  <c r="D110" i="445"/>
  <c r="E110" i="445"/>
  <c r="F110" i="445"/>
  <c r="G110" i="445"/>
  <c r="H110" i="445"/>
  <c r="I110" i="445"/>
  <c r="J110" i="445"/>
  <c r="K110" i="445"/>
  <c r="L110" i="445"/>
  <c r="M110" i="445"/>
  <c r="N110" i="445"/>
  <c r="P110" i="445"/>
  <c r="C111" i="445"/>
  <c r="D111" i="445"/>
  <c r="E111" i="445"/>
  <c r="F111" i="445"/>
  <c r="G111" i="445"/>
  <c r="H111" i="445"/>
  <c r="I111" i="445"/>
  <c r="J111" i="445"/>
  <c r="K111" i="445"/>
  <c r="L111" i="445"/>
  <c r="M111" i="445"/>
  <c r="N111" i="445"/>
  <c r="P111" i="445"/>
  <c r="G112" i="445"/>
  <c r="I112" i="445"/>
  <c r="J112" i="445"/>
  <c r="K112" i="445"/>
  <c r="L112" i="445"/>
  <c r="M112" i="445"/>
  <c r="N112" i="445"/>
  <c r="P112" i="445"/>
  <c r="M113" i="445"/>
  <c r="N113" i="445"/>
  <c r="M117" i="445"/>
  <c r="M130" i="445"/>
  <c r="C135" i="445"/>
  <c r="D135" i="445" s="1"/>
  <c r="E135" i="445" s="1"/>
  <c r="F135" i="445" s="1"/>
  <c r="G135" i="445" s="1"/>
  <c r="H135" i="445" s="1"/>
  <c r="I135" i="445" s="1"/>
  <c r="J135" i="445" s="1"/>
  <c r="K135" i="445" s="1"/>
  <c r="L135" i="445" s="1"/>
  <c r="M135" i="445" s="1"/>
  <c r="N135" i="445" s="1"/>
  <c r="C143" i="445"/>
  <c r="D143" i="445" s="1"/>
  <c r="E143" i="445" s="1"/>
  <c r="F143" i="445" s="1"/>
  <c r="G143" i="445" s="1"/>
  <c r="H143" i="445" s="1"/>
  <c r="I143" i="445" s="1"/>
  <c r="J143" i="445" s="1"/>
  <c r="K143" i="445" s="1"/>
  <c r="L143" i="445" s="1"/>
  <c r="M143" i="445" s="1"/>
  <c r="N143" i="445" s="1"/>
  <c r="C150" i="445"/>
  <c r="D150" i="445" s="1"/>
  <c r="E150" i="445" s="1"/>
  <c r="F150" i="445" s="1"/>
  <c r="G150" i="445" s="1"/>
  <c r="H150" i="445" s="1"/>
  <c r="I150" i="445" s="1"/>
  <c r="J150" i="445" s="1"/>
  <c r="K150" i="445" s="1"/>
  <c r="L150" i="445" s="1"/>
  <c r="M150" i="445" s="1"/>
  <c r="N150" i="445" s="1"/>
  <c r="E13" i="447"/>
  <c r="H130" i="446"/>
  <c r="J109" i="446"/>
  <c r="J125" i="446" s="1"/>
  <c r="I43" i="445"/>
  <c r="I121" i="445" s="1"/>
  <c r="I44" i="445"/>
  <c r="I92" i="445"/>
  <c r="I96" i="445"/>
  <c r="I10" i="445"/>
  <c r="J85" i="445"/>
  <c r="J126" i="445" s="1"/>
  <c r="J124" i="445" s="1"/>
  <c r="J96" i="445"/>
  <c r="J92" i="445"/>
  <c r="C55" i="447"/>
  <c r="D55" i="446"/>
  <c r="K113" i="445"/>
  <c r="K92" i="445"/>
  <c r="K130" i="445"/>
  <c r="K96" i="445"/>
  <c r="D53" i="447"/>
  <c r="D51" i="447"/>
  <c r="D50" i="446"/>
  <c r="C50" i="447"/>
  <c r="D50" i="447" s="1"/>
  <c r="D38" i="446"/>
  <c r="L92" i="445"/>
  <c r="L96" i="445"/>
  <c r="L10" i="445"/>
  <c r="O11" i="445"/>
  <c r="M11" i="446" s="1"/>
  <c r="E66" i="447"/>
  <c r="P61" i="445"/>
  <c r="I113" i="445"/>
  <c r="J130" i="446"/>
  <c r="J106" i="446"/>
  <c r="J92" i="446"/>
  <c r="I73" i="445"/>
  <c r="L102" i="445"/>
  <c r="L131" i="445" s="1"/>
  <c r="L129" i="445" s="1"/>
  <c r="J109" i="445"/>
  <c r="J125" i="445" s="1"/>
  <c r="J117" i="445"/>
  <c r="J106" i="445"/>
  <c r="J104" i="445" s="1"/>
  <c r="J130" i="445"/>
  <c r="J44" i="445"/>
  <c r="L109" i="445"/>
  <c r="L125" i="445" s="1"/>
  <c r="F109" i="445"/>
  <c r="F125" i="445" s="1"/>
  <c r="D70" i="445"/>
  <c r="K79" i="445"/>
  <c r="C12" i="447"/>
  <c r="L113" i="445"/>
  <c r="J113" i="445"/>
  <c r="M392" i="457" l="1"/>
  <c r="I30" i="446"/>
  <c r="I106" i="446"/>
  <c r="E72" i="446"/>
  <c r="G17" i="446"/>
  <c r="E102" i="446"/>
  <c r="E131" i="446" s="1"/>
  <c r="C102" i="446"/>
  <c r="C131" i="446" s="1"/>
  <c r="C17" i="446"/>
  <c r="C87" i="446" s="1"/>
  <c r="I102" i="446"/>
  <c r="I85" i="446" s="1"/>
  <c r="I126" i="446" s="1"/>
  <c r="I124" i="446" s="1"/>
  <c r="H102" i="446"/>
  <c r="H95" i="446"/>
  <c r="C344" i="452"/>
  <c r="L344" i="457" s="1"/>
  <c r="M344" i="457" s="1"/>
  <c r="C348" i="452"/>
  <c r="L348" i="457" s="1"/>
  <c r="M348" i="457" s="1"/>
  <c r="H51" i="447"/>
  <c r="H52" i="447"/>
  <c r="F50" i="447"/>
  <c r="H32" i="447"/>
  <c r="H54" i="447"/>
  <c r="E79" i="445"/>
  <c r="E69" i="447"/>
  <c r="E78" i="447" s="1"/>
  <c r="D386" i="457"/>
  <c r="M381" i="457"/>
  <c r="C396" i="457"/>
  <c r="C394" i="457" s="1"/>
  <c r="E371" i="457"/>
  <c r="E413" i="457" s="1"/>
  <c r="H48" i="447"/>
  <c r="I48" i="447" s="1"/>
  <c r="H37" i="447"/>
  <c r="E109" i="447"/>
  <c r="E110" i="447"/>
  <c r="P67" i="445"/>
  <c r="H117" i="445"/>
  <c r="O23" i="445"/>
  <c r="C23" i="447" s="1"/>
  <c r="H23" i="447" s="1"/>
  <c r="I23" i="447" s="1"/>
  <c r="H61" i="445"/>
  <c r="H86" i="445"/>
  <c r="H63" i="445"/>
  <c r="H68" i="445"/>
  <c r="H67" i="445" s="1"/>
  <c r="J61" i="446"/>
  <c r="I109" i="446"/>
  <c r="I125" i="446" s="1"/>
  <c r="F92" i="446"/>
  <c r="C72" i="446"/>
  <c r="C73" i="446" s="1"/>
  <c r="C116" i="446" s="1"/>
  <c r="J17" i="446"/>
  <c r="J86" i="446" s="1"/>
  <c r="I43" i="446"/>
  <c r="I113" i="446" s="1"/>
  <c r="I130" i="446"/>
  <c r="J69" i="446"/>
  <c r="F109" i="446"/>
  <c r="F125" i="446" s="1"/>
  <c r="G70" i="446"/>
  <c r="F106" i="446"/>
  <c r="G62" i="446"/>
  <c r="G102" i="446"/>
  <c r="G105" i="446" s="1"/>
  <c r="C92" i="446"/>
  <c r="C30" i="446"/>
  <c r="E70" i="446"/>
  <c r="D52" i="447"/>
  <c r="H112" i="445"/>
  <c r="H102" i="445"/>
  <c r="H109" i="445"/>
  <c r="H125" i="445" s="1"/>
  <c r="H130" i="445"/>
  <c r="H30" i="445"/>
  <c r="H106" i="445"/>
  <c r="H104" i="445" s="1"/>
  <c r="H43" i="445"/>
  <c r="H113" i="445" s="1"/>
  <c r="H92" i="445"/>
  <c r="H73" i="445"/>
  <c r="H116" i="445" s="1"/>
  <c r="H79" i="445"/>
  <c r="C41" i="447"/>
  <c r="H41" i="447" s="1"/>
  <c r="I41" i="447" s="1"/>
  <c r="G117" i="445"/>
  <c r="G130" i="445"/>
  <c r="G106" i="445"/>
  <c r="G92" i="445"/>
  <c r="L67" i="445"/>
  <c r="N79" i="445"/>
  <c r="J79" i="445"/>
  <c r="G73" i="445"/>
  <c r="G116" i="445" s="1"/>
  <c r="G67" i="445"/>
  <c r="F112" i="445"/>
  <c r="F92" i="445"/>
  <c r="F117" i="445"/>
  <c r="F67" i="445"/>
  <c r="O69" i="445"/>
  <c r="M69" i="446" s="1"/>
  <c r="F79" i="445"/>
  <c r="E95" i="445"/>
  <c r="D41" i="446"/>
  <c r="O94" i="445"/>
  <c r="M94" i="446" s="1"/>
  <c r="E92" i="445"/>
  <c r="E70" i="445"/>
  <c r="E73" i="445"/>
  <c r="E116" i="445" s="1"/>
  <c r="E67" i="445"/>
  <c r="D95" i="445"/>
  <c r="D109" i="445"/>
  <c r="D125" i="445" s="1"/>
  <c r="M33" i="446"/>
  <c r="D106" i="445"/>
  <c r="D117" i="445"/>
  <c r="D23" i="446"/>
  <c r="D67" i="445"/>
  <c r="D79" i="445"/>
  <c r="C112" i="445"/>
  <c r="C43" i="445"/>
  <c r="C113" i="445" s="1"/>
  <c r="C145" i="445"/>
  <c r="H35" i="447"/>
  <c r="I35" i="447" s="1"/>
  <c r="C98" i="447"/>
  <c r="C108" i="447"/>
  <c r="C109" i="445"/>
  <c r="C125" i="445" s="1"/>
  <c r="O34" i="445"/>
  <c r="C34" i="447" s="1"/>
  <c r="M32" i="446"/>
  <c r="C121" i="445"/>
  <c r="C92" i="445"/>
  <c r="C79" i="445"/>
  <c r="M15" i="446"/>
  <c r="O62" i="445"/>
  <c r="M62" i="446" s="1"/>
  <c r="O72" i="445"/>
  <c r="C9" i="447"/>
  <c r="D146" i="447" s="1"/>
  <c r="O93" i="445"/>
  <c r="M93" i="446" s="1"/>
  <c r="M9" i="446"/>
  <c r="C73" i="447"/>
  <c r="C73" i="445"/>
  <c r="C67" i="445"/>
  <c r="D290" i="452"/>
  <c r="D312" i="452"/>
  <c r="D278" i="452"/>
  <c r="D267" i="452"/>
  <c r="D231" i="452"/>
  <c r="D208" i="452"/>
  <c r="AT25" i="453"/>
  <c r="AT11" i="453"/>
  <c r="AU35" i="453"/>
  <c r="AH27" i="453"/>
  <c r="AI27" i="453" s="1"/>
  <c r="AK27" i="453" s="1"/>
  <c r="AH16" i="453"/>
  <c r="AH19" i="453"/>
  <c r="AI19" i="453" s="1"/>
  <c r="AK19" i="453" s="1"/>
  <c r="S38" i="453"/>
  <c r="AY31" i="453"/>
  <c r="AS31" i="453" s="1"/>
  <c r="AH15" i="453"/>
  <c r="AT28" i="453"/>
  <c r="AH12" i="453"/>
  <c r="AY15" i="453"/>
  <c r="AT17" i="453"/>
  <c r="AY28" i="453"/>
  <c r="AH18" i="453"/>
  <c r="J412" i="457"/>
  <c r="G373" i="457"/>
  <c r="G414" i="457" s="1"/>
  <c r="C411" i="457"/>
  <c r="C566" i="457"/>
  <c r="C402" i="457"/>
  <c r="K402" i="457"/>
  <c r="D346" i="452"/>
  <c r="L325" i="457"/>
  <c r="M325" i="457" s="1"/>
  <c r="K497" i="457"/>
  <c r="H85" i="445"/>
  <c r="H126" i="445" s="1"/>
  <c r="H124" i="445" s="1"/>
  <c r="H105" i="445"/>
  <c r="H131" i="445"/>
  <c r="E85" i="446"/>
  <c r="E126" i="446" s="1"/>
  <c r="E105" i="446"/>
  <c r="F55" i="447"/>
  <c r="C70" i="445"/>
  <c r="H50" i="447"/>
  <c r="D131" i="445"/>
  <c r="D85" i="445"/>
  <c r="D126" i="445" s="1"/>
  <c r="D124" i="445" s="1"/>
  <c r="I106" i="445"/>
  <c r="I104" i="445" s="1"/>
  <c r="I117" i="445"/>
  <c r="I130" i="445"/>
  <c r="C106" i="445"/>
  <c r="C137" i="445"/>
  <c r="D137" i="445" s="1"/>
  <c r="E137" i="445" s="1"/>
  <c r="F137" i="445" s="1"/>
  <c r="G137" i="445" s="1"/>
  <c r="H137" i="445" s="1"/>
  <c r="I137" i="445" s="1"/>
  <c r="J137" i="445" s="1"/>
  <c r="K137" i="445" s="1"/>
  <c r="L137" i="445" s="1"/>
  <c r="M137" i="445" s="1"/>
  <c r="N137" i="445" s="1"/>
  <c r="E92" i="447"/>
  <c r="D105" i="445"/>
  <c r="D73" i="445"/>
  <c r="I30" i="445"/>
  <c r="G112" i="446"/>
  <c r="F102" i="445"/>
  <c r="F105" i="445" s="1"/>
  <c r="F95" i="446"/>
  <c r="F43" i="446"/>
  <c r="E108" i="447"/>
  <c r="E91" i="447"/>
  <c r="H43" i="446"/>
  <c r="H109" i="446"/>
  <c r="H125" i="446" s="1"/>
  <c r="H106" i="446"/>
  <c r="H92" i="446"/>
  <c r="I62" i="446"/>
  <c r="I72" i="446"/>
  <c r="I70" i="446" s="1"/>
  <c r="F70" i="445"/>
  <c r="F73" i="445"/>
  <c r="E69" i="446"/>
  <c r="E117" i="446" s="1"/>
  <c r="E17" i="446"/>
  <c r="E61" i="446"/>
  <c r="E75" i="446"/>
  <c r="B20" i="460"/>
  <c r="C15" i="460"/>
  <c r="K394" i="457"/>
  <c r="D19" i="447"/>
  <c r="D66" i="447" s="1"/>
  <c r="R68" i="445"/>
  <c r="M79" i="445"/>
  <c r="E15" i="447"/>
  <c r="E70" i="447" s="1"/>
  <c r="P72" i="445"/>
  <c r="P70" i="445" s="1"/>
  <c r="P63" i="445"/>
  <c r="B29" i="460"/>
  <c r="C29" i="460" s="1"/>
  <c r="C33" i="460" s="1"/>
  <c r="R71" i="445"/>
  <c r="C139" i="445"/>
  <c r="C130" i="445"/>
  <c r="C11" i="447"/>
  <c r="H11" i="447" s="1"/>
  <c r="H55" i="447"/>
  <c r="D55" i="447"/>
  <c r="I70" i="445"/>
  <c r="J67" i="445"/>
  <c r="J131" i="445"/>
  <c r="J129" i="445" s="1"/>
  <c r="J105" i="445"/>
  <c r="I102" i="445"/>
  <c r="P36" i="445"/>
  <c r="E34" i="447"/>
  <c r="M19" i="446"/>
  <c r="O68" i="445"/>
  <c r="K412" i="457"/>
  <c r="F88" i="446"/>
  <c r="F69" i="446"/>
  <c r="F67" i="446" s="1"/>
  <c r="F61" i="446"/>
  <c r="F51" i="447"/>
  <c r="F54" i="447"/>
  <c r="F52" i="447"/>
  <c r="D145" i="445"/>
  <c r="E145" i="445" s="1"/>
  <c r="F145" i="445" s="1"/>
  <c r="G145" i="445" s="1"/>
  <c r="H145" i="445" s="1"/>
  <c r="I145" i="445" s="1"/>
  <c r="J145" i="445" s="1"/>
  <c r="K145" i="445" s="1"/>
  <c r="L145" i="445" s="1"/>
  <c r="M145" i="445" s="1"/>
  <c r="N145" i="445" s="1"/>
  <c r="N19" i="446"/>
  <c r="Q68" i="445"/>
  <c r="N68" i="446" s="1"/>
  <c r="J62" i="446"/>
  <c r="J75" i="446"/>
  <c r="K496" i="457"/>
  <c r="C105" i="446"/>
  <c r="C104" i="446" s="1"/>
  <c r="E98" i="447"/>
  <c r="P62" i="445"/>
  <c r="O13" i="445"/>
  <c r="M13" i="446" s="1"/>
  <c r="J70" i="445"/>
  <c r="H85" i="446"/>
  <c r="H126" i="446" s="1"/>
  <c r="H131" i="446"/>
  <c r="H129" i="446" s="1"/>
  <c r="H105" i="446"/>
  <c r="K23" i="452"/>
  <c r="G20" i="452"/>
  <c r="G23" i="452"/>
  <c r="G21" i="452"/>
  <c r="G109" i="446"/>
  <c r="G125" i="446" s="1"/>
  <c r="G30" i="446"/>
  <c r="G43" i="446"/>
  <c r="G113" i="446" s="1"/>
  <c r="K330" i="452"/>
  <c r="C117" i="445"/>
  <c r="D11" i="446"/>
  <c r="C109" i="447"/>
  <c r="G106" i="446"/>
  <c r="C44" i="445"/>
  <c r="E93" i="447"/>
  <c r="C30" i="445"/>
  <c r="H49" i="447"/>
  <c r="I49" i="447" s="1"/>
  <c r="C85" i="446"/>
  <c r="C126" i="446" s="1"/>
  <c r="D32" i="446"/>
  <c r="G92" i="446"/>
  <c r="E88" i="446"/>
  <c r="E85" i="445"/>
  <c r="E126" i="445" s="1"/>
  <c r="E124" i="445" s="1"/>
  <c r="E105" i="445"/>
  <c r="J30" i="445"/>
  <c r="J43" i="445"/>
  <c r="J121" i="445" s="1"/>
  <c r="D43" i="445"/>
  <c r="D113" i="445" s="1"/>
  <c r="D130" i="445"/>
  <c r="E39" i="447"/>
  <c r="E99" i="447" s="1"/>
  <c r="P101" i="445"/>
  <c r="P102" i="445" s="1"/>
  <c r="O110" i="445"/>
  <c r="M110" i="446" s="1"/>
  <c r="O111" i="445"/>
  <c r="M111" i="446" s="1"/>
  <c r="D35" i="446"/>
  <c r="M35" i="446"/>
  <c r="K188" i="452"/>
  <c r="K566" i="457"/>
  <c r="M106" i="445"/>
  <c r="M104" i="445" s="1"/>
  <c r="L79" i="445"/>
  <c r="C61" i="446"/>
  <c r="C75" i="446"/>
  <c r="C88" i="446"/>
  <c r="O39" i="445"/>
  <c r="C39" i="447" s="1"/>
  <c r="C15" i="447"/>
  <c r="H69" i="446"/>
  <c r="H67" i="446" s="1"/>
  <c r="E12" i="447"/>
  <c r="P75" i="445"/>
  <c r="AG35" i="453"/>
  <c r="I391" i="457"/>
  <c r="L352" i="457"/>
  <c r="M352" i="457" s="1"/>
  <c r="C496" i="457"/>
  <c r="C575" i="457" s="1"/>
  <c r="C438" i="457"/>
  <c r="C420" i="457" s="1"/>
  <c r="C470" i="457"/>
  <c r="C585" i="457" s="1"/>
  <c r="C588" i="457" s="1"/>
  <c r="F130" i="446"/>
  <c r="O40" i="445"/>
  <c r="K102" i="445"/>
  <c r="J578" i="457"/>
  <c r="I402" i="457"/>
  <c r="G70" i="445"/>
  <c r="C38" i="447"/>
  <c r="H38" i="447" s="1"/>
  <c r="M38" i="446"/>
  <c r="H88" i="446"/>
  <c r="J43" i="446"/>
  <c r="J113" i="446" s="1"/>
  <c r="L70" i="445"/>
  <c r="D49" i="446"/>
  <c r="I92" i="446"/>
  <c r="K316" i="452"/>
  <c r="I494" i="457"/>
  <c r="I578" i="457" s="1"/>
  <c r="I581" i="457"/>
  <c r="L409" i="457"/>
  <c r="L444" i="457"/>
  <c r="L453" i="457"/>
  <c r="E60" i="447"/>
  <c r="F56" i="452"/>
  <c r="F65" i="452"/>
  <c r="F68" i="452"/>
  <c r="F53" i="452"/>
  <c r="F63" i="452"/>
  <c r="F69" i="452"/>
  <c r="F49" i="452"/>
  <c r="F62" i="452"/>
  <c r="F37" i="452"/>
  <c r="F38" i="452"/>
  <c r="F43" i="452"/>
  <c r="F33" i="452"/>
  <c r="F41" i="452"/>
  <c r="K45" i="452"/>
  <c r="H387" i="457"/>
  <c r="H412" i="457"/>
  <c r="I497" i="457"/>
  <c r="J438" i="457"/>
  <c r="J410" i="457"/>
  <c r="J456" i="457" s="1"/>
  <c r="F436" i="457"/>
  <c r="K491" i="457"/>
  <c r="K391" i="457"/>
  <c r="K397" i="457"/>
  <c r="K490" i="457" s="1"/>
  <c r="F102" i="446"/>
  <c r="F85" i="446" s="1"/>
  <c r="F126" i="446" s="1"/>
  <c r="F124" i="446" s="1"/>
  <c r="O10" i="445"/>
  <c r="C10" i="447" s="1"/>
  <c r="F61" i="452"/>
  <c r="F32" i="452"/>
  <c r="G412" i="457"/>
  <c r="H545" i="457"/>
  <c r="I461" i="457"/>
  <c r="I463" i="457" s="1"/>
  <c r="F88" i="452"/>
  <c r="K410" i="457"/>
  <c r="K488" i="457" s="1"/>
  <c r="E545" i="457"/>
  <c r="D497" i="457"/>
  <c r="D545" i="457"/>
  <c r="AY17" i="453"/>
  <c r="C497" i="457"/>
  <c r="C410" i="457"/>
  <c r="C488" i="457" s="1"/>
  <c r="K494" i="457"/>
  <c r="K578" i="457" s="1"/>
  <c r="K581" i="457"/>
  <c r="M581" i="457" s="1"/>
  <c r="K435" i="457"/>
  <c r="K480" i="457" s="1"/>
  <c r="K411" i="457"/>
  <c r="K470" i="457"/>
  <c r="K406" i="457"/>
  <c r="K438" i="457"/>
  <c r="K461" i="457"/>
  <c r="K545" i="457"/>
  <c r="E497" i="457"/>
  <c r="H461" i="457"/>
  <c r="H463" i="457" s="1"/>
  <c r="H496" i="457"/>
  <c r="H530" i="457" s="1"/>
  <c r="H411" i="457"/>
  <c r="G438" i="457"/>
  <c r="G428" i="457" s="1"/>
  <c r="G461" i="457"/>
  <c r="G463" i="457" s="1"/>
  <c r="G410" i="457"/>
  <c r="G488" i="457" s="1"/>
  <c r="E410" i="457"/>
  <c r="E488" i="457" s="1"/>
  <c r="D581" i="457"/>
  <c r="D435" i="457"/>
  <c r="D480" i="457" s="1"/>
  <c r="D553" i="457" s="1"/>
  <c r="F470" i="457"/>
  <c r="F585" i="457" s="1"/>
  <c r="F588" i="457" s="1"/>
  <c r="C498" i="457"/>
  <c r="D494" i="457"/>
  <c r="D578" i="457" s="1"/>
  <c r="E411" i="457"/>
  <c r="E496" i="457"/>
  <c r="E575" i="457" s="1"/>
  <c r="E470" i="457"/>
  <c r="E585" i="457" s="1"/>
  <c r="E588" i="457" s="1"/>
  <c r="G497" i="457"/>
  <c r="F545" i="457"/>
  <c r="C581" i="457"/>
  <c r="J496" i="457"/>
  <c r="J575" i="457" s="1"/>
  <c r="E461" i="457"/>
  <c r="E463" i="457" s="1"/>
  <c r="D394" i="457"/>
  <c r="J402" i="457"/>
  <c r="D402" i="457"/>
  <c r="J545" i="457"/>
  <c r="J470" i="457"/>
  <c r="J585" i="457" s="1"/>
  <c r="C461" i="457"/>
  <c r="C463" i="457" s="1"/>
  <c r="J411" i="457"/>
  <c r="F410" i="457"/>
  <c r="F456" i="457" s="1"/>
  <c r="E402" i="457"/>
  <c r="F461" i="457"/>
  <c r="F463" i="457" s="1"/>
  <c r="G496" i="457"/>
  <c r="G575" i="457" s="1"/>
  <c r="H581" i="457"/>
  <c r="H484" i="457"/>
  <c r="H486" i="457" s="1"/>
  <c r="H428" i="457"/>
  <c r="H420" i="457"/>
  <c r="D410" i="457"/>
  <c r="D438" i="457"/>
  <c r="D484" i="457" s="1"/>
  <c r="D486" i="457" s="1"/>
  <c r="D461" i="457"/>
  <c r="D463" i="457" s="1"/>
  <c r="D496" i="457"/>
  <c r="D530" i="457" s="1"/>
  <c r="D411" i="457"/>
  <c r="D470" i="457"/>
  <c r="D585" i="457" s="1"/>
  <c r="D588" i="457" s="1"/>
  <c r="G545" i="457"/>
  <c r="J581" i="457"/>
  <c r="H470" i="457"/>
  <c r="H585" i="457" s="1"/>
  <c r="H588" i="457" s="1"/>
  <c r="I428" i="457"/>
  <c r="I420" i="457"/>
  <c r="H410" i="457"/>
  <c r="E396" i="457"/>
  <c r="E397" i="457" s="1"/>
  <c r="I491" i="457"/>
  <c r="J391" i="457"/>
  <c r="F396" i="457"/>
  <c r="F397" i="457" s="1"/>
  <c r="F386" i="457"/>
  <c r="F371" i="457"/>
  <c r="F413" i="457" s="1"/>
  <c r="E365" i="457"/>
  <c r="E372" i="457"/>
  <c r="I498" i="457"/>
  <c r="L434" i="457"/>
  <c r="L580" i="457"/>
  <c r="L537" i="457"/>
  <c r="G411" i="457"/>
  <c r="G470" i="457"/>
  <c r="G585" i="457" s="1"/>
  <c r="G588" i="457" s="1"/>
  <c r="G394" i="457"/>
  <c r="F391" i="457"/>
  <c r="F402" i="457"/>
  <c r="F411" i="457"/>
  <c r="F438" i="457"/>
  <c r="F496" i="457"/>
  <c r="F575" i="457" s="1"/>
  <c r="E391" i="457"/>
  <c r="C393" i="457"/>
  <c r="C385" i="457"/>
  <c r="C371" i="457"/>
  <c r="I410" i="457"/>
  <c r="I470" i="457"/>
  <c r="I585" i="457" s="1"/>
  <c r="I588" i="457" s="1"/>
  <c r="I496" i="457"/>
  <c r="I575" i="457" s="1"/>
  <c r="I545" i="457"/>
  <c r="J397" i="457"/>
  <c r="J490" i="457" s="1"/>
  <c r="G387" i="457"/>
  <c r="J394" i="457"/>
  <c r="H394" i="457"/>
  <c r="D328" i="452"/>
  <c r="W38" i="453"/>
  <c r="AA38" i="453"/>
  <c r="B32" i="455" s="1"/>
  <c r="X38" i="453"/>
  <c r="AH14" i="453"/>
  <c r="AH26" i="453"/>
  <c r="AI26" i="453" s="1"/>
  <c r="AK26" i="453" s="1"/>
  <c r="AH13" i="453"/>
  <c r="AI13" i="453" s="1"/>
  <c r="AK13" i="453" s="1"/>
  <c r="T38" i="453"/>
  <c r="F7" i="459"/>
  <c r="AV35" i="453"/>
  <c r="AT9" i="453"/>
  <c r="AT35" i="453" s="1"/>
  <c r="AT26" i="453"/>
  <c r="AY24" i="453"/>
  <c r="AT22" i="453"/>
  <c r="AY21" i="453"/>
  <c r="AY20" i="453"/>
  <c r="AT20" i="453"/>
  <c r="Z38" i="453"/>
  <c r="B33" i="455" s="1"/>
  <c r="AY19" i="453"/>
  <c r="AH17" i="453"/>
  <c r="AY27" i="453"/>
  <c r="AH23" i="453"/>
  <c r="BI35" i="453"/>
  <c r="AT24" i="453"/>
  <c r="AT16" i="453"/>
  <c r="AT12" i="453"/>
  <c r="AW35" i="453"/>
  <c r="AH25" i="453"/>
  <c r="AY11" i="453"/>
  <c r="AH11" i="453"/>
  <c r="AI11" i="453" s="1"/>
  <c r="AK11" i="453" s="1"/>
  <c r="AY26" i="453"/>
  <c r="AH24" i="453"/>
  <c r="AI24" i="453" s="1"/>
  <c r="AK24" i="453" s="1"/>
  <c r="AY22" i="453"/>
  <c r="AH22" i="453"/>
  <c r="AT19" i="453"/>
  <c r="BG35" i="453"/>
  <c r="AT13" i="453"/>
  <c r="AT18" i="453"/>
  <c r="AS35" i="453"/>
  <c r="AT21" i="453"/>
  <c r="AR35" i="453"/>
  <c r="AT15" i="453"/>
  <c r="D326" i="452"/>
  <c r="C330" i="452"/>
  <c r="D327" i="452"/>
  <c r="AH9" i="453"/>
  <c r="AF35" i="453"/>
  <c r="F497" i="457"/>
  <c r="F83" i="452"/>
  <c r="F85" i="452"/>
  <c r="F93" i="452"/>
  <c r="F92" i="452"/>
  <c r="K97" i="452"/>
  <c r="F84" i="452"/>
  <c r="F91" i="452"/>
  <c r="F86" i="452"/>
  <c r="F94" i="452"/>
  <c r="F90" i="452"/>
  <c r="AW36" i="453"/>
  <c r="AH21" i="453"/>
  <c r="AG36" i="453"/>
  <c r="F101" i="452"/>
  <c r="K101" i="452"/>
  <c r="K159" i="452"/>
  <c r="AT23" i="453"/>
  <c r="BG36" i="453"/>
  <c r="K176" i="452"/>
  <c r="K175" i="452"/>
  <c r="K149" i="452"/>
  <c r="K144" i="452"/>
  <c r="K89" i="452"/>
  <c r="K74" i="452"/>
  <c r="F50" i="452"/>
  <c r="F74" i="452"/>
  <c r="F54" i="452"/>
  <c r="F36" i="452"/>
  <c r="K12" i="452"/>
  <c r="AH20" i="453"/>
  <c r="AH28" i="453"/>
  <c r="Q71" i="445"/>
  <c r="N71" i="446" s="1"/>
  <c r="K50" i="452"/>
  <c r="AD35" i="453"/>
  <c r="AJ35" i="453"/>
  <c r="AY29" i="453"/>
  <c r="AS29" i="453" s="1"/>
  <c r="AD12" i="453"/>
  <c r="AD36" i="453" s="1"/>
  <c r="AJ36" i="453"/>
  <c r="Q80" i="445"/>
  <c r="N80" i="446" s="1"/>
  <c r="F34" i="452"/>
  <c r="F35" i="452"/>
  <c r="F42" i="452"/>
  <c r="F39" i="452"/>
  <c r="K21" i="452"/>
  <c r="K38" i="452"/>
  <c r="K39" i="452"/>
  <c r="K40" i="452"/>
  <c r="K41" i="452"/>
  <c r="K42" i="452"/>
  <c r="K43" i="452"/>
  <c r="K20" i="452"/>
  <c r="K54" i="452"/>
  <c r="K115" i="452"/>
  <c r="K116" i="452"/>
  <c r="K117" i="452"/>
  <c r="K118" i="452"/>
  <c r="K119" i="452"/>
  <c r="K120" i="452"/>
  <c r="K121" i="452"/>
  <c r="K122" i="452"/>
  <c r="K146" i="452"/>
  <c r="K165" i="452"/>
  <c r="G11" i="452"/>
  <c r="F11" i="452" s="1"/>
  <c r="G16" i="452"/>
  <c r="AY25" i="453"/>
  <c r="AT14" i="453"/>
  <c r="U38" i="453"/>
  <c r="B10" i="455" s="1"/>
  <c r="C10" i="455" s="1"/>
  <c r="AT27" i="453"/>
  <c r="C578" i="457"/>
  <c r="BI36" i="453"/>
  <c r="AY9" i="453"/>
  <c r="AY23" i="453"/>
  <c r="E7" i="458"/>
  <c r="E11" i="458" s="1"/>
  <c r="B28" i="460"/>
  <c r="N28" i="460" s="1"/>
  <c r="D371" i="457"/>
  <c r="D387" i="457" s="1"/>
  <c r="D393" i="457"/>
  <c r="D415" i="457"/>
  <c r="D489" i="457" s="1"/>
  <c r="D385" i="457"/>
  <c r="C553" i="457"/>
  <c r="AY13" i="453"/>
  <c r="H406" i="457"/>
  <c r="H391" i="457"/>
  <c r="H397" i="457"/>
  <c r="H491" i="457"/>
  <c r="J463" i="457"/>
  <c r="E428" i="457"/>
  <c r="E420" i="457"/>
  <c r="I484" i="457"/>
  <c r="I486" i="457" s="1"/>
  <c r="I406" i="457"/>
  <c r="I397" i="457"/>
  <c r="G397" i="457"/>
  <c r="G391" i="457"/>
  <c r="G406" i="457"/>
  <c r="H402" i="457"/>
  <c r="J435" i="457"/>
  <c r="J480" i="457" s="1"/>
  <c r="I387" i="457"/>
  <c r="I412" i="457"/>
  <c r="I435" i="457"/>
  <c r="I480" i="457" s="1"/>
  <c r="L350" i="457"/>
  <c r="L418" i="457"/>
  <c r="L426" i="457"/>
  <c r="L449" i="457"/>
  <c r="J406" i="457"/>
  <c r="G402" i="457"/>
  <c r="I394" i="457"/>
  <c r="H33" i="447"/>
  <c r="H53" i="447"/>
  <c r="F53" i="447"/>
  <c r="L130" i="445"/>
  <c r="L43" i="445"/>
  <c r="L121" i="445" s="1"/>
  <c r="L44" i="445"/>
  <c r="L117" i="445"/>
  <c r="L106" i="445"/>
  <c r="L104" i="445" s="1"/>
  <c r="F130" i="445"/>
  <c r="F106" i="445"/>
  <c r="F104" i="445" s="1"/>
  <c r="F43" i="445"/>
  <c r="F113" i="445" s="1"/>
  <c r="F30" i="445"/>
  <c r="G43" i="445"/>
  <c r="O42" i="445"/>
  <c r="O25" i="445"/>
  <c r="C86" i="445"/>
  <c r="M63" i="445"/>
  <c r="M87" i="445"/>
  <c r="E63" i="445"/>
  <c r="E87" i="445"/>
  <c r="L85" i="445"/>
  <c r="L126" i="445" s="1"/>
  <c r="L124" i="445" s="1"/>
  <c r="L105" i="445"/>
  <c r="M70" i="445"/>
  <c r="M73" i="445"/>
  <c r="I131" i="445"/>
  <c r="I129" i="445" s="1"/>
  <c r="I105" i="445"/>
  <c r="I85" i="445"/>
  <c r="I126" i="445" s="1"/>
  <c r="I124" i="445" s="1"/>
  <c r="G131" i="446"/>
  <c r="G129" i="446" s="1"/>
  <c r="G85" i="446"/>
  <c r="G126" i="446" s="1"/>
  <c r="G124" i="446" s="1"/>
  <c r="C14" i="447"/>
  <c r="M14" i="446"/>
  <c r="D14" i="446"/>
  <c r="J80" i="446"/>
  <c r="R80" i="445"/>
  <c r="I120" i="445"/>
  <c r="I116" i="445"/>
  <c r="H62" i="446"/>
  <c r="H17" i="446"/>
  <c r="H72" i="446"/>
  <c r="H70" i="446" s="1"/>
  <c r="H75" i="446"/>
  <c r="K116" i="445"/>
  <c r="K120" i="445"/>
  <c r="E109" i="446"/>
  <c r="E125" i="446" s="1"/>
  <c r="E106" i="446"/>
  <c r="E104" i="446" s="1"/>
  <c r="E130" i="446"/>
  <c r="E92" i="446"/>
  <c r="E30" i="446"/>
  <c r="E43" i="446"/>
  <c r="G96" i="446"/>
  <c r="N105" i="445"/>
  <c r="N131" i="445"/>
  <c r="N129" i="445" s="1"/>
  <c r="N85" i="445"/>
  <c r="N126" i="445" s="1"/>
  <c r="N124" i="445" s="1"/>
  <c r="G73" i="446"/>
  <c r="G117" i="446"/>
  <c r="G67" i="446"/>
  <c r="C130" i="446"/>
  <c r="C129" i="446" s="1"/>
  <c r="C117" i="446"/>
  <c r="C109" i="446"/>
  <c r="C125" i="446" s="1"/>
  <c r="C43" i="446"/>
  <c r="N63" i="445"/>
  <c r="N87" i="445"/>
  <c r="F63" i="445"/>
  <c r="F87" i="445"/>
  <c r="J73" i="445"/>
  <c r="C102" i="445"/>
  <c r="O101" i="445"/>
  <c r="M101" i="446" s="1"/>
  <c r="C67" i="446"/>
  <c r="K117" i="445"/>
  <c r="K43" i="445"/>
  <c r="K121" i="445" s="1"/>
  <c r="K30" i="445"/>
  <c r="K44" i="445"/>
  <c r="M31" i="446"/>
  <c r="D31" i="446"/>
  <c r="C31" i="447"/>
  <c r="L63" i="445"/>
  <c r="L87" i="445"/>
  <c r="D87" i="445"/>
  <c r="D63" i="445"/>
  <c r="O17" i="445"/>
  <c r="E106" i="445"/>
  <c r="E117" i="445"/>
  <c r="E130" i="445"/>
  <c r="E129" i="445" s="1"/>
  <c r="E43" i="445"/>
  <c r="M24" i="446"/>
  <c r="O71" i="445"/>
  <c r="D24" i="446"/>
  <c r="C24" i="447"/>
  <c r="G87" i="446"/>
  <c r="G63" i="446"/>
  <c r="G86" i="446"/>
  <c r="G81" i="446"/>
  <c r="G79" i="446" s="1"/>
  <c r="N116" i="445"/>
  <c r="G79" i="445"/>
  <c r="D9" i="446"/>
  <c r="O88" i="445"/>
  <c r="M88" i="446" s="1"/>
  <c r="M49" i="446"/>
  <c r="N43" i="445"/>
  <c r="N121" i="445" s="1"/>
  <c r="N44" i="445"/>
  <c r="N30" i="445"/>
  <c r="N106" i="445"/>
  <c r="N104" i="445" s="1"/>
  <c r="N117" i="445"/>
  <c r="J95" i="446"/>
  <c r="J112" i="446"/>
  <c r="G105" i="445"/>
  <c r="G131" i="445"/>
  <c r="G129" i="445" s="1"/>
  <c r="G85" i="445"/>
  <c r="G126" i="445" s="1"/>
  <c r="G124" i="445" s="1"/>
  <c r="O100" i="445"/>
  <c r="F73" i="446"/>
  <c r="F116" i="446" s="1"/>
  <c r="F70" i="446"/>
  <c r="F17" i="446"/>
  <c r="F75" i="446"/>
  <c r="I75" i="446"/>
  <c r="I88" i="446"/>
  <c r="I69" i="446"/>
  <c r="F62" i="446"/>
  <c r="I17" i="446"/>
  <c r="H96" i="446"/>
  <c r="L73" i="445"/>
  <c r="D37" i="446"/>
  <c r="M37" i="446"/>
  <c r="D19" i="446"/>
  <c r="C19" i="447"/>
  <c r="J102" i="446"/>
  <c r="M102" i="445"/>
  <c r="C70" i="446"/>
  <c r="E80" i="446"/>
  <c r="M23" i="446"/>
  <c r="J72" i="446"/>
  <c r="H108" i="447" l="1"/>
  <c r="D348" i="452"/>
  <c r="G44" i="446"/>
  <c r="I44" i="446"/>
  <c r="G121" i="446"/>
  <c r="J63" i="446"/>
  <c r="I96" i="446"/>
  <c r="F105" i="446"/>
  <c r="F104" i="446" s="1"/>
  <c r="C86" i="446"/>
  <c r="I131" i="446"/>
  <c r="I129" i="446" s="1"/>
  <c r="J81" i="446"/>
  <c r="J79" i="446" s="1"/>
  <c r="F117" i="446"/>
  <c r="I121" i="446"/>
  <c r="I105" i="446"/>
  <c r="I104" i="446" s="1"/>
  <c r="C81" i="446"/>
  <c r="C79" i="446" s="1"/>
  <c r="C63" i="446"/>
  <c r="D344" i="452"/>
  <c r="H109" i="447"/>
  <c r="I109" i="447" s="1"/>
  <c r="E100" i="447"/>
  <c r="D49" i="447"/>
  <c r="E68" i="447"/>
  <c r="F23" i="447"/>
  <c r="G23" i="447" s="1"/>
  <c r="E373" i="457"/>
  <c r="E414" i="457" s="1"/>
  <c r="E412" i="457"/>
  <c r="E387" i="457"/>
  <c r="C530" i="457"/>
  <c r="C484" i="457"/>
  <c r="C486" i="457" s="1"/>
  <c r="C428" i="457"/>
  <c r="C499" i="457"/>
  <c r="C576" i="457" s="1"/>
  <c r="F49" i="447"/>
  <c r="E129" i="447"/>
  <c r="O61" i="445"/>
  <c r="H120" i="445"/>
  <c r="F131" i="446"/>
  <c r="F129" i="446" s="1"/>
  <c r="J121" i="446"/>
  <c r="J87" i="446"/>
  <c r="J117" i="446"/>
  <c r="J67" i="446"/>
  <c r="H124" i="446"/>
  <c r="E129" i="446"/>
  <c r="H98" i="447"/>
  <c r="H129" i="445"/>
  <c r="H121" i="445"/>
  <c r="H44" i="445"/>
  <c r="H96" i="445"/>
  <c r="G104" i="445"/>
  <c r="G44" i="445"/>
  <c r="G113" i="445"/>
  <c r="G120" i="445"/>
  <c r="G121" i="445"/>
  <c r="G96" i="445"/>
  <c r="O67" i="445"/>
  <c r="C65" i="447" s="1"/>
  <c r="O73" i="445"/>
  <c r="C71" i="447" s="1"/>
  <c r="C67" i="447"/>
  <c r="F85" i="445"/>
  <c r="F126" i="445" s="1"/>
  <c r="F124" i="445" s="1"/>
  <c r="F131" i="445"/>
  <c r="F129" i="445"/>
  <c r="F121" i="445"/>
  <c r="F96" i="445"/>
  <c r="F44" i="445"/>
  <c r="C146" i="447"/>
  <c r="M39" i="446"/>
  <c r="E104" i="445"/>
  <c r="E44" i="445"/>
  <c r="E113" i="445"/>
  <c r="E120" i="445"/>
  <c r="E121" i="445"/>
  <c r="E96" i="445"/>
  <c r="D68" i="446"/>
  <c r="D104" i="445"/>
  <c r="D129" i="445"/>
  <c r="M34" i="446"/>
  <c r="O36" i="445"/>
  <c r="O130" i="445" s="1"/>
  <c r="D121" i="445"/>
  <c r="D96" i="445"/>
  <c r="D44" i="445"/>
  <c r="C86" i="447"/>
  <c r="C91" i="447"/>
  <c r="H91" i="447" s="1"/>
  <c r="I91" i="447" s="1"/>
  <c r="H9" i="447"/>
  <c r="I9" i="447" s="1"/>
  <c r="C92" i="447"/>
  <c r="H92" i="447" s="1"/>
  <c r="I92" i="447" s="1"/>
  <c r="E146" i="447"/>
  <c r="D13" i="446"/>
  <c r="D15" i="446" s="1"/>
  <c r="D72" i="446" s="1"/>
  <c r="C120" i="445"/>
  <c r="C96" i="445"/>
  <c r="C60" i="447"/>
  <c r="H60" i="447" s="1"/>
  <c r="I60" i="447" s="1"/>
  <c r="C13" i="447"/>
  <c r="H13" i="447" s="1"/>
  <c r="C70" i="447"/>
  <c r="H70" i="447" s="1"/>
  <c r="I70" i="447" s="1"/>
  <c r="M72" i="446"/>
  <c r="C116" i="445"/>
  <c r="M10" i="446"/>
  <c r="D10" i="446"/>
  <c r="D12" i="446" s="1"/>
  <c r="D88" i="446" s="1"/>
  <c r="F58" i="452"/>
  <c r="F71" i="452"/>
  <c r="AL27" i="453"/>
  <c r="AM27" i="453" s="1"/>
  <c r="AL24" i="453"/>
  <c r="AM24" i="453" s="1"/>
  <c r="AL19" i="453"/>
  <c r="AM19" i="453" s="1"/>
  <c r="AC19" i="453"/>
  <c r="AL13" i="453"/>
  <c r="AM13" i="453" s="1"/>
  <c r="AL11" i="453"/>
  <c r="AM11" i="453" s="1"/>
  <c r="AL26" i="453"/>
  <c r="AM26" i="453" s="1"/>
  <c r="AQ22" i="453"/>
  <c r="AQ19" i="453"/>
  <c r="AI20" i="453"/>
  <c r="AK20" i="453" s="1"/>
  <c r="AI21" i="453"/>
  <c r="AK21" i="453" s="1"/>
  <c r="AI23" i="453"/>
  <c r="AK23" i="453" s="1"/>
  <c r="AI16" i="453"/>
  <c r="AK16" i="453" s="1"/>
  <c r="AQ15" i="453"/>
  <c r="AI22" i="453"/>
  <c r="AK22" i="453" s="1"/>
  <c r="AW38" i="453"/>
  <c r="C157" i="452" s="1"/>
  <c r="AI28" i="453"/>
  <c r="AK28" i="453" s="1"/>
  <c r="BI38" i="453"/>
  <c r="C176" i="452" s="1"/>
  <c r="L176" i="457" s="1"/>
  <c r="M176" i="457" s="1"/>
  <c r="AI17" i="453"/>
  <c r="AK17" i="453" s="1"/>
  <c r="AH35" i="453"/>
  <c r="AI18" i="453"/>
  <c r="AK18" i="453" s="1"/>
  <c r="AI15" i="453"/>
  <c r="AK15" i="453" s="1"/>
  <c r="F530" i="457"/>
  <c r="D481" i="457"/>
  <c r="D482" i="457" s="1"/>
  <c r="H494" i="457"/>
  <c r="H578" i="457" s="1"/>
  <c r="J530" i="457"/>
  <c r="D29" i="460"/>
  <c r="E29" i="460" s="1"/>
  <c r="E33" i="460" s="1"/>
  <c r="C567" i="457"/>
  <c r="F412" i="457"/>
  <c r="G530" i="457"/>
  <c r="F488" i="457"/>
  <c r="J488" i="457"/>
  <c r="C544" i="457"/>
  <c r="C546" i="457" s="1"/>
  <c r="C437" i="457"/>
  <c r="C419" i="457" s="1"/>
  <c r="G484" i="457"/>
  <c r="G486" i="457" s="1"/>
  <c r="C436" i="457"/>
  <c r="J549" i="457"/>
  <c r="J571" i="457" s="1"/>
  <c r="C439" i="457"/>
  <c r="C440" i="457" s="1"/>
  <c r="E499" i="457"/>
  <c r="E516" i="457" s="1"/>
  <c r="I436" i="457"/>
  <c r="F387" i="457"/>
  <c r="E436" i="457"/>
  <c r="G499" i="457"/>
  <c r="G516" i="457" s="1"/>
  <c r="F373" i="457"/>
  <c r="F414" i="457" s="1"/>
  <c r="J484" i="457"/>
  <c r="J486" i="457" s="1"/>
  <c r="J428" i="457"/>
  <c r="E530" i="457"/>
  <c r="J420" i="457"/>
  <c r="F394" i="457"/>
  <c r="F499" i="457"/>
  <c r="F519" i="457" s="1"/>
  <c r="D436" i="457"/>
  <c r="I530" i="457"/>
  <c r="G549" i="457"/>
  <c r="G571" i="457" s="1"/>
  <c r="K499" i="457"/>
  <c r="K576" i="457" s="1"/>
  <c r="K439" i="457"/>
  <c r="K429" i="457" s="1"/>
  <c r="K550" i="457" s="1"/>
  <c r="K567" i="457"/>
  <c r="K544" i="457"/>
  <c r="K546" i="457" s="1"/>
  <c r="K436" i="457"/>
  <c r="K575" i="457"/>
  <c r="K549" i="457"/>
  <c r="K571" i="457" s="1"/>
  <c r="K456" i="457"/>
  <c r="K530" i="457"/>
  <c r="L330" i="457"/>
  <c r="M330" i="457" s="1"/>
  <c r="B10" i="460"/>
  <c r="E73" i="447"/>
  <c r="H73" i="447" s="1"/>
  <c r="I73" i="447" s="1"/>
  <c r="E86" i="447"/>
  <c r="E59" i="447"/>
  <c r="E67" i="447"/>
  <c r="E86" i="446"/>
  <c r="E87" i="446"/>
  <c r="E81" i="446"/>
  <c r="P109" i="445"/>
  <c r="P125" i="445" s="1"/>
  <c r="P92" i="445"/>
  <c r="P30" i="445"/>
  <c r="E30" i="447" s="1"/>
  <c r="P117" i="445"/>
  <c r="P106" i="445"/>
  <c r="P43" i="445"/>
  <c r="E36" i="447"/>
  <c r="P130" i="445"/>
  <c r="F116" i="445"/>
  <c r="F120" i="445"/>
  <c r="I401" i="457"/>
  <c r="I403" i="457" s="1"/>
  <c r="AQ28" i="453"/>
  <c r="H73" i="446"/>
  <c r="H499" i="457"/>
  <c r="H519" i="457" s="1"/>
  <c r="D78" i="447"/>
  <c r="AG38" i="453"/>
  <c r="D11" i="451" s="1"/>
  <c r="E11" i="451" s="1"/>
  <c r="AQ17" i="453"/>
  <c r="K401" i="457"/>
  <c r="K403" i="457" s="1"/>
  <c r="K131" i="445"/>
  <c r="K129" i="445" s="1"/>
  <c r="K105" i="445"/>
  <c r="K85" i="445"/>
  <c r="K126" i="445" s="1"/>
  <c r="K124" i="445" s="1"/>
  <c r="M61" i="446"/>
  <c r="C59" i="447"/>
  <c r="P131" i="445"/>
  <c r="P105" i="445"/>
  <c r="P85" i="445"/>
  <c r="P126" i="445" s="1"/>
  <c r="C20" i="460"/>
  <c r="D15" i="460"/>
  <c r="H113" i="446"/>
  <c r="H44" i="446"/>
  <c r="F44" i="446"/>
  <c r="F96" i="446"/>
  <c r="F113" i="446"/>
  <c r="F121" i="446"/>
  <c r="D116" i="445"/>
  <c r="D120" i="445"/>
  <c r="G74" i="452"/>
  <c r="F21" i="452" s="1"/>
  <c r="K76" i="452"/>
  <c r="G45" i="452"/>
  <c r="E73" i="446"/>
  <c r="E116" i="446" s="1"/>
  <c r="C456" i="457"/>
  <c r="C549" i="457"/>
  <c r="C571" i="457" s="1"/>
  <c r="H117" i="446"/>
  <c r="H34" i="447"/>
  <c r="F45" i="452"/>
  <c r="D69" i="447"/>
  <c r="J96" i="446"/>
  <c r="J44" i="446"/>
  <c r="C40" i="447"/>
  <c r="H40" i="447" s="1"/>
  <c r="M40" i="446"/>
  <c r="K28" i="452"/>
  <c r="K33" i="452"/>
  <c r="K49" i="452"/>
  <c r="K62" i="452"/>
  <c r="K85" i="452"/>
  <c r="K88" i="452"/>
  <c r="K92" i="452"/>
  <c r="K105" i="452"/>
  <c r="K109" i="452"/>
  <c r="K135" i="452"/>
  <c r="K174" i="452"/>
  <c r="K193" i="452"/>
  <c r="K195" i="452"/>
  <c r="K219" i="452"/>
  <c r="K221" i="452"/>
  <c r="K223" i="452"/>
  <c r="K248" i="452"/>
  <c r="K250" i="452"/>
  <c r="K259" i="452"/>
  <c r="K264" i="452"/>
  <c r="K37" i="452"/>
  <c r="K56" i="452"/>
  <c r="K65" i="452"/>
  <c r="K68" i="452"/>
  <c r="K148" i="452"/>
  <c r="K155" i="452"/>
  <c r="K180" i="452"/>
  <c r="K198" i="452"/>
  <c r="K215" i="452"/>
  <c r="K217" i="452"/>
  <c r="K225" i="452"/>
  <c r="K227" i="452"/>
  <c r="K229" i="452"/>
  <c r="K235" i="452"/>
  <c r="K239" i="452"/>
  <c r="K252" i="452"/>
  <c r="K254" i="452"/>
  <c r="K262" i="452"/>
  <c r="K34" i="452"/>
  <c r="K53" i="452"/>
  <c r="K86" i="452"/>
  <c r="K93" i="452"/>
  <c r="K102" i="452"/>
  <c r="K106" i="452"/>
  <c r="K110" i="452"/>
  <c r="K156" i="452"/>
  <c r="K162" i="452"/>
  <c r="K172" i="452"/>
  <c r="K178" i="452"/>
  <c r="K186" i="452"/>
  <c r="K196" i="452"/>
  <c r="K211" i="452"/>
  <c r="K213" i="452"/>
  <c r="K237" i="452"/>
  <c r="K241" i="452"/>
  <c r="K243" i="452"/>
  <c r="K271" i="452"/>
  <c r="K11" i="452"/>
  <c r="K14" i="452"/>
  <c r="K52" i="452"/>
  <c r="K67" i="452"/>
  <c r="K134" i="452"/>
  <c r="K147" i="452"/>
  <c r="K150" i="452"/>
  <c r="K167" i="452"/>
  <c r="K183" i="452"/>
  <c r="K200" i="452"/>
  <c r="K202" i="452"/>
  <c r="K204" i="452"/>
  <c r="K244" i="452"/>
  <c r="K246" i="452"/>
  <c r="K256" i="452"/>
  <c r="K270" i="452"/>
  <c r="K275" i="452"/>
  <c r="K48" i="452"/>
  <c r="K78" i="452"/>
  <c r="K90" i="452"/>
  <c r="K95" i="452"/>
  <c r="K100" i="452"/>
  <c r="K182" i="452"/>
  <c r="K185" i="452"/>
  <c r="K216" i="452"/>
  <c r="K236" i="452"/>
  <c r="K253" i="452"/>
  <c r="K272" i="452"/>
  <c r="K284" i="452"/>
  <c r="K298" i="452"/>
  <c r="K306" i="452"/>
  <c r="K328" i="452"/>
  <c r="K335" i="452"/>
  <c r="K342" i="452"/>
  <c r="K32" i="452"/>
  <c r="K61" i="452"/>
  <c r="K123" i="452"/>
  <c r="K197" i="452"/>
  <c r="K205" i="452"/>
  <c r="K222" i="452"/>
  <c r="K251" i="452"/>
  <c r="K263" i="452"/>
  <c r="K282" i="452"/>
  <c r="K295" i="452"/>
  <c r="K303" i="452"/>
  <c r="K309" i="452"/>
  <c r="K325" i="452"/>
  <c r="K336" i="452"/>
  <c r="K16" i="452"/>
  <c r="K66" i="452"/>
  <c r="K107" i="452"/>
  <c r="K173" i="452"/>
  <c r="K212" i="452"/>
  <c r="K220" i="452"/>
  <c r="K242" i="452"/>
  <c r="K249" i="452"/>
  <c r="K257" i="452"/>
  <c r="K273" i="452"/>
  <c r="K287" i="452"/>
  <c r="K299" i="452"/>
  <c r="K326" i="452"/>
  <c r="K51" i="452"/>
  <c r="K103" i="452"/>
  <c r="K157" i="452"/>
  <c r="K166" i="452"/>
  <c r="K194" i="452"/>
  <c r="K206" i="452"/>
  <c r="K234" i="452"/>
  <c r="K240" i="452"/>
  <c r="K245" i="452"/>
  <c r="K261" i="452"/>
  <c r="K300" i="452"/>
  <c r="K327" i="452"/>
  <c r="K334" i="452"/>
  <c r="K26" i="452"/>
  <c r="K201" i="452"/>
  <c r="K255" i="452"/>
  <c r="K258" i="452"/>
  <c r="K265" i="452"/>
  <c r="K294" i="452"/>
  <c r="K297" i="452"/>
  <c r="K310" i="452"/>
  <c r="K35" i="452"/>
  <c r="K87" i="452"/>
  <c r="K104" i="452"/>
  <c r="K179" i="452"/>
  <c r="K192" i="452"/>
  <c r="K199" i="452"/>
  <c r="K228" i="452"/>
  <c r="K238" i="452"/>
  <c r="K276" i="452"/>
  <c r="K285" i="452"/>
  <c r="K307" i="452"/>
  <c r="K83" i="452"/>
  <c r="K94" i="452"/>
  <c r="K152" i="452"/>
  <c r="K288" i="452"/>
  <c r="K177" i="452"/>
  <c r="K304" i="452"/>
  <c r="K308" i="452"/>
  <c r="K163" i="452"/>
  <c r="K169" i="452"/>
  <c r="K260" i="452"/>
  <c r="K302" i="452"/>
  <c r="K286" i="452"/>
  <c r="K63" i="452"/>
  <c r="K84" i="452"/>
  <c r="K181" i="452"/>
  <c r="K226" i="452"/>
  <c r="K274" i="452"/>
  <c r="K346" i="452"/>
  <c r="K218" i="452"/>
  <c r="K293" i="452"/>
  <c r="K36" i="452"/>
  <c r="K69" i="452"/>
  <c r="K91" i="452"/>
  <c r="K214" i="452"/>
  <c r="K224" i="452"/>
  <c r="K338" i="452"/>
  <c r="K55" i="452"/>
  <c r="K64" i="452"/>
  <c r="K164" i="452"/>
  <c r="K283" i="452"/>
  <c r="K296" i="452"/>
  <c r="K13" i="452"/>
  <c r="K203" i="452"/>
  <c r="K247" i="452"/>
  <c r="K108" i="452"/>
  <c r="K137" i="452"/>
  <c r="K184" i="452"/>
  <c r="K281" i="452"/>
  <c r="K301" i="452"/>
  <c r="D139" i="445"/>
  <c r="E139" i="445" s="1"/>
  <c r="F139" i="445" s="1"/>
  <c r="G139" i="445" s="1"/>
  <c r="H139" i="445" s="1"/>
  <c r="I139" i="445" s="1"/>
  <c r="J139" i="445" s="1"/>
  <c r="K139" i="445" s="1"/>
  <c r="L139" i="445" s="1"/>
  <c r="M139" i="445" s="1"/>
  <c r="N139" i="445" s="1"/>
  <c r="D110" i="446"/>
  <c r="D100" i="446"/>
  <c r="D42" i="446"/>
  <c r="D112" i="446" s="1"/>
  <c r="P81" i="445"/>
  <c r="P79" i="445" s="1"/>
  <c r="E17" i="447"/>
  <c r="G420" i="457"/>
  <c r="E63" i="446"/>
  <c r="E79" i="446"/>
  <c r="H121" i="446"/>
  <c r="C124" i="446"/>
  <c r="H401" i="457"/>
  <c r="H403" i="457" s="1"/>
  <c r="P73" i="445"/>
  <c r="P116" i="445" s="1"/>
  <c r="E124" i="446"/>
  <c r="E67" i="446"/>
  <c r="G104" i="446"/>
  <c r="G401" i="457"/>
  <c r="G403" i="457" s="1"/>
  <c r="F549" i="457"/>
  <c r="F571" i="457" s="1"/>
  <c r="AI14" i="453"/>
  <c r="AK14" i="453" s="1"/>
  <c r="H435" i="457"/>
  <c r="H480" i="457" s="1"/>
  <c r="I481" i="457" s="1"/>
  <c r="I482" i="457" s="1"/>
  <c r="K511" i="457"/>
  <c r="K579" i="457" s="1"/>
  <c r="D111" i="446"/>
  <c r="H104" i="446"/>
  <c r="C66" i="447"/>
  <c r="H66" i="447" s="1"/>
  <c r="M68" i="446"/>
  <c r="K548" i="457"/>
  <c r="K463" i="457"/>
  <c r="K484" i="457"/>
  <c r="K486" i="457" s="1"/>
  <c r="K420" i="457"/>
  <c r="K428" i="457"/>
  <c r="K553" i="457"/>
  <c r="K481" i="457"/>
  <c r="K482" i="457" s="1"/>
  <c r="K473" i="457"/>
  <c r="K475" i="457" s="1"/>
  <c r="K585" i="457"/>
  <c r="J588" i="457"/>
  <c r="I567" i="457"/>
  <c r="J499" i="457"/>
  <c r="J517" i="457" s="1"/>
  <c r="J401" i="457"/>
  <c r="J403" i="457" s="1"/>
  <c r="G456" i="457"/>
  <c r="H575" i="457"/>
  <c r="E549" i="457"/>
  <c r="E571" i="457" s="1"/>
  <c r="D499" i="457"/>
  <c r="D515" i="457" s="1"/>
  <c r="E583" i="457"/>
  <c r="D575" i="457"/>
  <c r="J473" i="457"/>
  <c r="J475" i="457" s="1"/>
  <c r="K476" i="457" s="1"/>
  <c r="E473" i="457"/>
  <c r="E475" i="457" s="1"/>
  <c r="F476" i="457" s="1"/>
  <c r="F401" i="457"/>
  <c r="F403" i="457" s="1"/>
  <c r="E456" i="457"/>
  <c r="G436" i="457"/>
  <c r="C387" i="457"/>
  <c r="C413" i="457"/>
  <c r="C406" i="457"/>
  <c r="C397" i="457"/>
  <c r="C491" i="457"/>
  <c r="D488" i="457"/>
  <c r="D456" i="457"/>
  <c r="D549" i="457"/>
  <c r="D571" i="457" s="1"/>
  <c r="I499" i="457"/>
  <c r="I516" i="457" s="1"/>
  <c r="G439" i="457"/>
  <c r="G566" i="457"/>
  <c r="G567" i="457"/>
  <c r="G544" i="457"/>
  <c r="G546" i="457" s="1"/>
  <c r="F435" i="457"/>
  <c r="F480" i="457" s="1"/>
  <c r="F494" i="457"/>
  <c r="F578" i="457" s="1"/>
  <c r="F581" i="457"/>
  <c r="I471" i="457"/>
  <c r="I469" i="457" s="1"/>
  <c r="D420" i="457"/>
  <c r="J511" i="457"/>
  <c r="J591" i="457" s="1"/>
  <c r="F406" i="457"/>
  <c r="E490" i="457"/>
  <c r="E511" i="457"/>
  <c r="E439" i="457"/>
  <c r="E544" i="457"/>
  <c r="E546" i="457" s="1"/>
  <c r="E566" i="457"/>
  <c r="E567" i="457"/>
  <c r="C373" i="457"/>
  <c r="C414" i="457" s="1"/>
  <c r="H566" i="457"/>
  <c r="H439" i="457"/>
  <c r="H544" i="457"/>
  <c r="H546" i="457" s="1"/>
  <c r="H567" i="457"/>
  <c r="E394" i="457"/>
  <c r="E401" i="457" s="1"/>
  <c r="E403" i="457" s="1"/>
  <c r="E406" i="457"/>
  <c r="C548" i="457"/>
  <c r="C460" i="457"/>
  <c r="G548" i="457"/>
  <c r="G435" i="457"/>
  <c r="G480" i="457" s="1"/>
  <c r="G494" i="457"/>
  <c r="G578" i="457" s="1"/>
  <c r="G581" i="457"/>
  <c r="I549" i="457"/>
  <c r="I571" i="457" s="1"/>
  <c r="I456" i="457"/>
  <c r="I488" i="457"/>
  <c r="C391" i="457"/>
  <c r="C401" i="457" s="1"/>
  <c r="C403" i="457" s="1"/>
  <c r="H488" i="457"/>
  <c r="H456" i="457"/>
  <c r="H549" i="457"/>
  <c r="H571" i="457" s="1"/>
  <c r="F484" i="457"/>
  <c r="F486" i="457" s="1"/>
  <c r="F428" i="457"/>
  <c r="H471" i="457"/>
  <c r="H469" i="457" s="1"/>
  <c r="H436" i="457"/>
  <c r="C412" i="457"/>
  <c r="D428" i="457"/>
  <c r="F420" i="457"/>
  <c r="E435" i="457"/>
  <c r="E480" i="457" s="1"/>
  <c r="E581" i="457"/>
  <c r="E494" i="457"/>
  <c r="E578" i="457" s="1"/>
  <c r="D330" i="452"/>
  <c r="AI25" i="453"/>
  <c r="AK25" i="453" s="1"/>
  <c r="AQ20" i="453"/>
  <c r="AD38" i="453"/>
  <c r="D8" i="451" s="1"/>
  <c r="AQ24" i="453"/>
  <c r="AQ11" i="453"/>
  <c r="AI9" i="453"/>
  <c r="AQ26" i="453"/>
  <c r="AY14" i="453"/>
  <c r="AY18" i="453"/>
  <c r="BG38" i="453"/>
  <c r="C172" i="452" s="1"/>
  <c r="L172" i="457" s="1"/>
  <c r="M172" i="457" s="1"/>
  <c r="AC27" i="453"/>
  <c r="F13" i="458"/>
  <c r="E20" i="458" s="1"/>
  <c r="E16" i="458"/>
  <c r="E19" i="458" s="1"/>
  <c r="J436" i="457"/>
  <c r="AY12" i="453"/>
  <c r="AU36" i="453"/>
  <c r="AU38" i="453" s="1"/>
  <c r="AY30" i="453"/>
  <c r="AS30" i="453" s="1"/>
  <c r="D439" i="457"/>
  <c r="D567" i="457"/>
  <c r="D544" i="457"/>
  <c r="D546" i="457" s="1"/>
  <c r="D566" i="457"/>
  <c r="I553" i="457"/>
  <c r="AQ21" i="453"/>
  <c r="AY16" i="453"/>
  <c r="AV36" i="453"/>
  <c r="AV38" i="453" s="1"/>
  <c r="F439" i="457"/>
  <c r="F567" i="457"/>
  <c r="F544" i="457"/>
  <c r="F546" i="457" s="1"/>
  <c r="F566" i="457"/>
  <c r="F511" i="457"/>
  <c r="F490" i="457"/>
  <c r="AQ25" i="453"/>
  <c r="J439" i="457"/>
  <c r="J566" i="457"/>
  <c r="J544" i="457"/>
  <c r="J567" i="457"/>
  <c r="G490" i="457"/>
  <c r="G473" i="457"/>
  <c r="G475" i="457" s="1"/>
  <c r="G511" i="457"/>
  <c r="AQ13" i="453"/>
  <c r="AQ23" i="453"/>
  <c r="H490" i="457"/>
  <c r="H511" i="457"/>
  <c r="I460" i="457"/>
  <c r="I462" i="457" s="1"/>
  <c r="H473" i="457"/>
  <c r="H475" i="457" s="1"/>
  <c r="J481" i="457"/>
  <c r="J482" i="457" s="1"/>
  <c r="J553" i="457"/>
  <c r="I490" i="457"/>
  <c r="I473" i="457"/>
  <c r="I475" i="457" s="1"/>
  <c r="I511" i="457"/>
  <c r="D391" i="457"/>
  <c r="D401" i="457" s="1"/>
  <c r="D403" i="457" s="1"/>
  <c r="D397" i="457"/>
  <c r="D406" i="457"/>
  <c r="D491" i="457"/>
  <c r="AQ9" i="453"/>
  <c r="AQ35" i="453" s="1"/>
  <c r="AY35" i="453"/>
  <c r="AY33" i="453"/>
  <c r="AS33" i="453" s="1"/>
  <c r="AJ38" i="453"/>
  <c r="AY32" i="453"/>
  <c r="AS32" i="453" s="1"/>
  <c r="AE35" i="453"/>
  <c r="AI12" i="453"/>
  <c r="AK12" i="453" s="1"/>
  <c r="AE36" i="453"/>
  <c r="D437" i="457"/>
  <c r="D471" i="457"/>
  <c r="D469" i="457" s="1"/>
  <c r="D583" i="457"/>
  <c r="D582" i="457" s="1"/>
  <c r="D460" i="457"/>
  <c r="D548" i="457"/>
  <c r="D495" i="457"/>
  <c r="F115" i="452"/>
  <c r="F122" i="452"/>
  <c r="F120" i="452"/>
  <c r="F121" i="452"/>
  <c r="F100" i="452"/>
  <c r="F102" i="452"/>
  <c r="F103" i="452"/>
  <c r="F104" i="452"/>
  <c r="F105" i="452"/>
  <c r="F106" i="452"/>
  <c r="F107" i="452"/>
  <c r="F108" i="452"/>
  <c r="F109" i="452"/>
  <c r="F110" i="452"/>
  <c r="F116" i="452"/>
  <c r="F123" i="452"/>
  <c r="F118" i="452"/>
  <c r="F119" i="452"/>
  <c r="F117" i="452"/>
  <c r="K125" i="452"/>
  <c r="AQ27" i="453"/>
  <c r="F473" i="457"/>
  <c r="F475" i="457" s="1"/>
  <c r="D373" i="457"/>
  <c r="D414" i="457" s="1"/>
  <c r="D413" i="457"/>
  <c r="D412" i="457"/>
  <c r="F16" i="452"/>
  <c r="K319" i="452"/>
  <c r="F97" i="452"/>
  <c r="D25" i="446"/>
  <c r="D71" i="446"/>
  <c r="M42" i="446"/>
  <c r="O95" i="445"/>
  <c r="M95" i="446" s="1"/>
  <c r="O112" i="445"/>
  <c r="M112" i="446" s="1"/>
  <c r="C42" i="447"/>
  <c r="C17" i="447"/>
  <c r="O81" i="445"/>
  <c r="M17" i="446"/>
  <c r="O86" i="445"/>
  <c r="M86" i="446" s="1"/>
  <c r="M100" i="446"/>
  <c r="L120" i="445"/>
  <c r="L116" i="445"/>
  <c r="F120" i="446"/>
  <c r="J120" i="445"/>
  <c r="J116" i="445"/>
  <c r="H87" i="446"/>
  <c r="H81" i="446"/>
  <c r="H79" i="446" s="1"/>
  <c r="H63" i="446"/>
  <c r="H86" i="446"/>
  <c r="D40" i="446"/>
  <c r="D39" i="446"/>
  <c r="D101" i="446" s="1"/>
  <c r="H39" i="447"/>
  <c r="I39" i="447" s="1"/>
  <c r="C99" i="447"/>
  <c r="H10" i="447"/>
  <c r="M25" i="446"/>
  <c r="O63" i="445"/>
  <c r="O80" i="445"/>
  <c r="C25" i="447"/>
  <c r="M85" i="445"/>
  <c r="M126" i="445" s="1"/>
  <c r="M124" i="445" s="1"/>
  <c r="M105" i="445"/>
  <c r="M131" i="445"/>
  <c r="M129" i="445" s="1"/>
  <c r="E121" i="446"/>
  <c r="E44" i="446"/>
  <c r="E96" i="446"/>
  <c r="E113" i="446"/>
  <c r="J73" i="446"/>
  <c r="J70" i="446"/>
  <c r="J131" i="446"/>
  <c r="J129" i="446" s="1"/>
  <c r="J105" i="446"/>
  <c r="J104" i="446" s="1"/>
  <c r="J85" i="446"/>
  <c r="J126" i="446" s="1"/>
  <c r="J124" i="446" s="1"/>
  <c r="C69" i="447"/>
  <c r="M71" i="446"/>
  <c r="O70" i="445"/>
  <c r="O43" i="445"/>
  <c r="H120" i="446"/>
  <c r="H116" i="446"/>
  <c r="M120" i="445"/>
  <c r="M116" i="445"/>
  <c r="I86" i="446"/>
  <c r="I63" i="446"/>
  <c r="I87" i="446"/>
  <c r="I81" i="446"/>
  <c r="I79" i="446" s="1"/>
  <c r="O87" i="445"/>
  <c r="M87" i="446" s="1"/>
  <c r="H31" i="447"/>
  <c r="I31" i="447" s="1"/>
  <c r="G116" i="446"/>
  <c r="G120" i="446"/>
  <c r="H14" i="447"/>
  <c r="H19" i="447"/>
  <c r="F19" i="447"/>
  <c r="I67" i="446"/>
  <c r="I73" i="446"/>
  <c r="I117" i="446"/>
  <c r="C85" i="445"/>
  <c r="C126" i="445" s="1"/>
  <c r="C124" i="445" s="1"/>
  <c r="C131" i="445"/>
  <c r="C129" i="445" s="1"/>
  <c r="C148" i="445"/>
  <c r="D148" i="445" s="1"/>
  <c r="E148" i="445" s="1"/>
  <c r="F148" i="445" s="1"/>
  <c r="G148" i="445" s="1"/>
  <c r="H148" i="445" s="1"/>
  <c r="I148" i="445" s="1"/>
  <c r="J148" i="445" s="1"/>
  <c r="K148" i="445" s="1"/>
  <c r="L148" i="445" s="1"/>
  <c r="M148" i="445" s="1"/>
  <c r="N148" i="445" s="1"/>
  <c r="O102" i="445"/>
  <c r="O85" i="445" s="1"/>
  <c r="C105" i="445"/>
  <c r="C104" i="445" s="1"/>
  <c r="C96" i="446"/>
  <c r="C113" i="446"/>
  <c r="C121" i="446"/>
  <c r="C120" i="446"/>
  <c r="C44" i="446"/>
  <c r="F81" i="446"/>
  <c r="F79" i="446" s="1"/>
  <c r="F63" i="446"/>
  <c r="F86" i="446"/>
  <c r="F87" i="446"/>
  <c r="D93" i="446"/>
  <c r="D94" i="446"/>
  <c r="H24" i="447"/>
  <c r="F24" i="447"/>
  <c r="D34" i="446"/>
  <c r="D36" i="446" s="1"/>
  <c r="D30" i="446" s="1"/>
  <c r="H59" i="447" l="1"/>
  <c r="I59" i="447" s="1"/>
  <c r="H12" i="447"/>
  <c r="E83" i="447"/>
  <c r="E124" i="447" s="1"/>
  <c r="E103" i="447"/>
  <c r="H517" i="457"/>
  <c r="C516" i="457"/>
  <c r="F576" i="457"/>
  <c r="C519" i="457"/>
  <c r="F516" i="457"/>
  <c r="C515" i="457"/>
  <c r="K588" i="457"/>
  <c r="M588" i="457" s="1"/>
  <c r="M585" i="457"/>
  <c r="C517" i="457"/>
  <c r="P129" i="445"/>
  <c r="H67" i="447"/>
  <c r="I67" i="447" s="1"/>
  <c r="E120" i="446"/>
  <c r="D102" i="446"/>
  <c r="D131" i="446" s="1"/>
  <c r="M67" i="446"/>
  <c r="M73" i="446"/>
  <c r="M36" i="446"/>
  <c r="O117" i="445"/>
  <c r="M117" i="446" s="1"/>
  <c r="O116" i="445"/>
  <c r="M116" i="446" s="1"/>
  <c r="O30" i="445"/>
  <c r="C30" i="447" s="1"/>
  <c r="O109" i="445"/>
  <c r="O125" i="445" s="1"/>
  <c r="H86" i="447"/>
  <c r="I86" i="447" s="1"/>
  <c r="O106" i="445"/>
  <c r="M106" i="446" s="1"/>
  <c r="O92" i="445"/>
  <c r="M92" i="446" s="1"/>
  <c r="C36" i="447"/>
  <c r="K31" i="447" s="1"/>
  <c r="F112" i="452"/>
  <c r="F125" i="452" s="1"/>
  <c r="K208" i="452"/>
  <c r="K112" i="452"/>
  <c r="K278" i="452"/>
  <c r="K290" i="452"/>
  <c r="K231" i="452"/>
  <c r="K267" i="452"/>
  <c r="K58" i="452"/>
  <c r="K71" i="452"/>
  <c r="K312" i="452"/>
  <c r="AO11" i="453"/>
  <c r="E11" i="453"/>
  <c r="AO24" i="453"/>
  <c r="E24" i="453"/>
  <c r="AO19" i="453"/>
  <c r="E19" i="453"/>
  <c r="AC24" i="453"/>
  <c r="AO13" i="453"/>
  <c r="E13" i="453"/>
  <c r="AO27" i="453"/>
  <c r="E27" i="453"/>
  <c r="L157" i="457"/>
  <c r="M157" i="457" s="1"/>
  <c r="AK9" i="453"/>
  <c r="E9" i="453" s="1"/>
  <c r="E35" i="453" s="1"/>
  <c r="AC13" i="453"/>
  <c r="AC11" i="453"/>
  <c r="D33" i="460"/>
  <c r="F29" i="460"/>
  <c r="F33" i="460" s="1"/>
  <c r="AN27" i="453"/>
  <c r="BD27" i="453" s="1"/>
  <c r="AN26" i="453"/>
  <c r="AL28" i="453"/>
  <c r="AM28" i="453" s="1"/>
  <c r="AL25" i="453"/>
  <c r="AM25" i="453" s="1"/>
  <c r="AN25" i="453" s="1"/>
  <c r="AL17" i="453"/>
  <c r="AM17" i="453" s="1"/>
  <c r="AN17" i="453" s="1"/>
  <c r="AL16" i="453"/>
  <c r="AM16" i="453" s="1"/>
  <c r="AL14" i="453"/>
  <c r="AM14" i="453" s="1"/>
  <c r="AL23" i="453"/>
  <c r="AM23" i="453" s="1"/>
  <c r="AL20" i="453"/>
  <c r="AM20" i="453" s="1"/>
  <c r="AL12" i="453"/>
  <c r="AM12" i="453" s="1"/>
  <c r="AL15" i="453"/>
  <c r="AM15" i="453" s="1"/>
  <c r="AN15" i="453" s="1"/>
  <c r="BA15" i="453" s="1"/>
  <c r="AL21" i="453"/>
  <c r="AM21" i="453" s="1"/>
  <c r="AL18" i="453"/>
  <c r="AM18" i="453" s="1"/>
  <c r="AL22" i="453"/>
  <c r="AM22" i="453" s="1"/>
  <c r="AN22" i="453" s="1"/>
  <c r="E26" i="453"/>
  <c r="AI35" i="453"/>
  <c r="AL9" i="453"/>
  <c r="AQ14" i="453"/>
  <c r="D14" i="451"/>
  <c r="E14" i="451" s="1"/>
  <c r="AQ18" i="453"/>
  <c r="B31" i="455"/>
  <c r="D157" i="452"/>
  <c r="AN19" i="453"/>
  <c r="E515" i="457"/>
  <c r="K519" i="457"/>
  <c r="K440" i="457"/>
  <c r="E576" i="457"/>
  <c r="C421" i="457"/>
  <c r="C422" i="457" s="1"/>
  <c r="H437" i="457"/>
  <c r="H445" i="457" s="1"/>
  <c r="E517" i="457"/>
  <c r="E519" i="457"/>
  <c r="F515" i="457"/>
  <c r="E495" i="457"/>
  <c r="E492" i="457" s="1"/>
  <c r="I439" i="457"/>
  <c r="I429" i="457" s="1"/>
  <c r="C429" i="457"/>
  <c r="C446" i="457"/>
  <c r="C495" i="457"/>
  <c r="C577" i="457" s="1"/>
  <c r="K510" i="457"/>
  <c r="M510" i="457" s="1"/>
  <c r="C583" i="457"/>
  <c r="C582" i="457" s="1"/>
  <c r="C445" i="457"/>
  <c r="F517" i="457"/>
  <c r="C427" i="457"/>
  <c r="C570" i="457" s="1"/>
  <c r="C471" i="457"/>
  <c r="C469" i="457" s="1"/>
  <c r="E437" i="457"/>
  <c r="E445" i="457" s="1"/>
  <c r="C565" i="457"/>
  <c r="H553" i="457"/>
  <c r="H554" i="457" s="1"/>
  <c r="G515" i="457"/>
  <c r="K421" i="457"/>
  <c r="K422" i="457" s="1"/>
  <c r="G576" i="457"/>
  <c r="G519" i="457"/>
  <c r="K591" i="457"/>
  <c r="G517" i="457"/>
  <c r="J542" i="457"/>
  <c r="H481" i="457"/>
  <c r="H482" i="457" s="1"/>
  <c r="K517" i="457"/>
  <c r="K515" i="457"/>
  <c r="K516" i="457"/>
  <c r="C10" i="460"/>
  <c r="Q14" i="445"/>
  <c r="N14" i="446" s="1"/>
  <c r="L369" i="457"/>
  <c r="M369" i="457" s="1"/>
  <c r="H576" i="457"/>
  <c r="D517" i="457"/>
  <c r="H515" i="457"/>
  <c r="H495" i="457"/>
  <c r="H500" i="457" s="1"/>
  <c r="L505" i="457"/>
  <c r="M505" i="457" s="1"/>
  <c r="E85" i="447"/>
  <c r="E61" i="447"/>
  <c r="E84" i="447"/>
  <c r="E79" i="447"/>
  <c r="E77" i="447" s="1"/>
  <c r="P124" i="445"/>
  <c r="P96" i="445"/>
  <c r="P113" i="445"/>
  <c r="P121" i="445"/>
  <c r="E43" i="447"/>
  <c r="P44" i="445"/>
  <c r="E44" i="447" s="1"/>
  <c r="P120" i="445"/>
  <c r="H15" i="447"/>
  <c r="H17" i="447" s="1"/>
  <c r="I17" i="447" s="1"/>
  <c r="D20" i="460"/>
  <c r="E15" i="460"/>
  <c r="D62" i="446"/>
  <c r="F11" i="451"/>
  <c r="D576" i="457"/>
  <c r="H548" i="457"/>
  <c r="B29" i="455"/>
  <c r="Q11" i="445"/>
  <c r="N11" i="446" s="1"/>
  <c r="I519" i="457"/>
  <c r="J515" i="457"/>
  <c r="K542" i="457"/>
  <c r="K540" i="457"/>
  <c r="K512" i="457"/>
  <c r="K513" i="457" s="1"/>
  <c r="M41" i="447"/>
  <c r="M37" i="447"/>
  <c r="E128" i="447"/>
  <c r="E127" i="447" s="1"/>
  <c r="E90" i="447"/>
  <c r="M39" i="447"/>
  <c r="M35" i="447"/>
  <c r="M32" i="447"/>
  <c r="M36" i="447"/>
  <c r="M38" i="447"/>
  <c r="M31" i="447"/>
  <c r="E104" i="447"/>
  <c r="E102" i="447" s="1"/>
  <c r="E115" i="447"/>
  <c r="M42" i="447"/>
  <c r="M40" i="447"/>
  <c r="M33" i="447"/>
  <c r="E107" i="447"/>
  <c r="E123" i="447" s="1"/>
  <c r="E122" i="447" s="1"/>
  <c r="M34" i="447"/>
  <c r="D95" i="446"/>
  <c r="D519" i="457"/>
  <c r="H516" i="457"/>
  <c r="H583" i="457"/>
  <c r="H582" i="457" s="1"/>
  <c r="E8" i="451"/>
  <c r="E582" i="457"/>
  <c r="K477" i="457"/>
  <c r="F20" i="452"/>
  <c r="F23" i="452" s="1"/>
  <c r="G76" i="452"/>
  <c r="P104" i="445"/>
  <c r="E65" i="447"/>
  <c r="H65" i="447" s="1"/>
  <c r="E71" i="447"/>
  <c r="E114" i="447" s="1"/>
  <c r="F66" i="447"/>
  <c r="K471" i="457"/>
  <c r="K469" i="457" s="1"/>
  <c r="K495" i="457"/>
  <c r="K547" i="457" s="1"/>
  <c r="K583" i="457"/>
  <c r="K437" i="457"/>
  <c r="K419" i="457" s="1"/>
  <c r="K460" i="457"/>
  <c r="K565" i="457"/>
  <c r="K556" i="457"/>
  <c r="M556" i="457" s="1"/>
  <c r="K554" i="457"/>
  <c r="M554" i="457" s="1"/>
  <c r="K430" i="457"/>
  <c r="K568" i="457" s="1"/>
  <c r="I566" i="457"/>
  <c r="E471" i="457"/>
  <c r="E469" i="457" s="1"/>
  <c r="I544" i="457"/>
  <c r="I546" i="457" s="1"/>
  <c r="D516" i="457"/>
  <c r="J576" i="457"/>
  <c r="E548" i="457"/>
  <c r="E460" i="457"/>
  <c r="E465" i="457" s="1"/>
  <c r="I583" i="457"/>
  <c r="I582" i="457" s="1"/>
  <c r="G495" i="457"/>
  <c r="G485" i="457" s="1"/>
  <c r="G487" i="457" s="1"/>
  <c r="J519" i="457"/>
  <c r="J516" i="457"/>
  <c r="I548" i="457"/>
  <c r="G471" i="457"/>
  <c r="G469" i="457" s="1"/>
  <c r="F481" i="457"/>
  <c r="F482" i="457" s="1"/>
  <c r="F553" i="457"/>
  <c r="C459" i="457"/>
  <c r="C465" i="457"/>
  <c r="C462" i="457"/>
  <c r="C466" i="457" s="1"/>
  <c r="J579" i="457"/>
  <c r="I437" i="457"/>
  <c r="I446" i="457" s="1"/>
  <c r="J540" i="457"/>
  <c r="I495" i="457"/>
  <c r="I483" i="457" s="1"/>
  <c r="J510" i="457"/>
  <c r="G583" i="457"/>
  <c r="G582" i="457" s="1"/>
  <c r="H460" i="457"/>
  <c r="H459" i="457" s="1"/>
  <c r="E591" i="457"/>
  <c r="E510" i="457"/>
  <c r="E579" i="457"/>
  <c r="E540" i="457"/>
  <c r="E542" i="457"/>
  <c r="H421" i="457"/>
  <c r="H422" i="457" s="1"/>
  <c r="H429" i="457"/>
  <c r="H440" i="457"/>
  <c r="G437" i="457"/>
  <c r="G419" i="457" s="1"/>
  <c r="E481" i="457"/>
  <c r="E482" i="457" s="1"/>
  <c r="E553" i="457"/>
  <c r="I517" i="457"/>
  <c r="I515" i="457"/>
  <c r="I576" i="457"/>
  <c r="G460" i="457"/>
  <c r="G462" i="457" s="1"/>
  <c r="G466" i="457" s="1"/>
  <c r="E440" i="457"/>
  <c r="E429" i="457"/>
  <c r="E421" i="457"/>
  <c r="E422" i="457" s="1"/>
  <c r="F495" i="457"/>
  <c r="F538" i="457" s="1"/>
  <c r="F583" i="457"/>
  <c r="F582" i="457" s="1"/>
  <c r="F460" i="457"/>
  <c r="F548" i="457"/>
  <c r="F437" i="457"/>
  <c r="F471" i="457"/>
  <c r="F469" i="457" s="1"/>
  <c r="G440" i="457"/>
  <c r="G421" i="457"/>
  <c r="G422" i="457" s="1"/>
  <c r="G429" i="457"/>
  <c r="G553" i="457"/>
  <c r="G481" i="457"/>
  <c r="G482" i="457" s="1"/>
  <c r="C490" i="457"/>
  <c r="C511" i="457"/>
  <c r="C473" i="457"/>
  <c r="C475" i="457" s="1"/>
  <c r="F8" i="451"/>
  <c r="L366" i="457"/>
  <c r="M366" i="457" s="1"/>
  <c r="AN13" i="453"/>
  <c r="F421" i="457"/>
  <c r="F422" i="457" s="1"/>
  <c r="F429" i="457"/>
  <c r="F440" i="457"/>
  <c r="B9" i="455"/>
  <c r="C9" i="455" s="1"/>
  <c r="C156" i="452"/>
  <c r="L156" i="457" s="1"/>
  <c r="M156" i="457" s="1"/>
  <c r="H512" i="457"/>
  <c r="H513" i="457" s="1"/>
  <c r="H510" i="457"/>
  <c r="H591" i="457"/>
  <c r="H542" i="457"/>
  <c r="H540" i="457"/>
  <c r="H579" i="457"/>
  <c r="B8" i="455"/>
  <c r="C8" i="455" s="1"/>
  <c r="C155" i="452"/>
  <c r="L155" i="457" s="1"/>
  <c r="M155" i="457" s="1"/>
  <c r="G510" i="457"/>
  <c r="G512" i="457"/>
  <c r="G513" i="457" s="1"/>
  <c r="G540" i="457"/>
  <c r="G591" i="457"/>
  <c r="G542" i="457"/>
  <c r="G579" i="457"/>
  <c r="AQ12" i="453"/>
  <c r="AY36" i="453"/>
  <c r="AY38" i="453" s="1"/>
  <c r="F8" i="459"/>
  <c r="F10" i="459" s="1"/>
  <c r="D10" i="459"/>
  <c r="G476" i="457"/>
  <c r="G477" i="457" s="1"/>
  <c r="F477" i="457"/>
  <c r="D427" i="457"/>
  <c r="D419" i="457"/>
  <c r="D445" i="457"/>
  <c r="D446" i="457"/>
  <c r="AE38" i="453"/>
  <c r="E565" i="457"/>
  <c r="I565" i="457"/>
  <c r="I556" i="457"/>
  <c r="I554" i="457"/>
  <c r="AS36" i="453"/>
  <c r="AS38" i="453" s="1"/>
  <c r="D492" i="457"/>
  <c r="D485" i="457"/>
  <c r="D487" i="457" s="1"/>
  <c r="D522" i="457"/>
  <c r="D561" i="457"/>
  <c r="D562" i="457"/>
  <c r="D500" i="457"/>
  <c r="D483" i="457"/>
  <c r="D524" i="457"/>
  <c r="D577" i="457"/>
  <c r="D527" i="457"/>
  <c r="D523" i="457"/>
  <c r="D547" i="457"/>
  <c r="D521" i="457"/>
  <c r="J460" i="457"/>
  <c r="J462" i="457" s="1"/>
  <c r="J495" i="457"/>
  <c r="J437" i="457"/>
  <c r="J548" i="457"/>
  <c r="J471" i="457"/>
  <c r="J583" i="457"/>
  <c r="D462" i="457"/>
  <c r="D466" i="457" s="1"/>
  <c r="D465" i="457"/>
  <c r="D459" i="457"/>
  <c r="J476" i="457"/>
  <c r="J477" i="457" s="1"/>
  <c r="H476" i="457"/>
  <c r="H477" i="457" s="1"/>
  <c r="L476" i="457"/>
  <c r="M476" i="457" s="1"/>
  <c r="J546" i="457"/>
  <c r="D565" i="457"/>
  <c r="F510" i="457"/>
  <c r="F512" i="457"/>
  <c r="F513" i="457" s="1"/>
  <c r="F579" i="457"/>
  <c r="F591" i="457"/>
  <c r="F540" i="457"/>
  <c r="F542" i="457"/>
  <c r="I128" i="452"/>
  <c r="K128" i="452"/>
  <c r="C188" i="452"/>
  <c r="L188" i="457" s="1"/>
  <c r="M188" i="457" s="1"/>
  <c r="D172" i="452"/>
  <c r="AN11" i="453"/>
  <c r="I476" i="457"/>
  <c r="I477" i="457" s="1"/>
  <c r="AN24" i="453"/>
  <c r="E21" i="458"/>
  <c r="D176" i="452"/>
  <c r="I512" i="457"/>
  <c r="I513" i="457" s="1"/>
  <c r="I510" i="457"/>
  <c r="I540" i="457"/>
  <c r="I542" i="457"/>
  <c r="I591" i="457"/>
  <c r="I579" i="457"/>
  <c r="D511" i="457"/>
  <c r="D538" i="457" s="1"/>
  <c r="D473" i="457"/>
  <c r="D475" i="457" s="1"/>
  <c r="D490" i="457"/>
  <c r="J556" i="457"/>
  <c r="J554" i="457"/>
  <c r="I465" i="457"/>
  <c r="I459" i="457"/>
  <c r="I466" i="457"/>
  <c r="J512" i="457"/>
  <c r="J513" i="457" s="1"/>
  <c r="J429" i="457"/>
  <c r="J421" i="457"/>
  <c r="J422" i="457" s="1"/>
  <c r="J440" i="457"/>
  <c r="AQ16" i="453"/>
  <c r="D421" i="457"/>
  <c r="D422" i="457" s="1"/>
  <c r="D429" i="457"/>
  <c r="D440" i="457"/>
  <c r="D80" i="446"/>
  <c r="O126" i="445"/>
  <c r="M126" i="446" s="1"/>
  <c r="M85" i="446"/>
  <c r="C110" i="447"/>
  <c r="C93" i="447"/>
  <c r="H42" i="447"/>
  <c r="I42" i="447" s="1"/>
  <c r="D17" i="446"/>
  <c r="D61" i="446"/>
  <c r="D75" i="446"/>
  <c r="D69" i="446"/>
  <c r="D117" i="446" s="1"/>
  <c r="J116" i="446"/>
  <c r="J120" i="446"/>
  <c r="D70" i="446"/>
  <c r="G24" i="447"/>
  <c r="F25" i="447"/>
  <c r="G25" i="447" s="1"/>
  <c r="I24" i="447"/>
  <c r="H25" i="447"/>
  <c r="I25" i="447" s="1"/>
  <c r="C61" i="447"/>
  <c r="M63" i="446"/>
  <c r="C43" i="447"/>
  <c r="O120" i="445"/>
  <c r="M120" i="446" s="1"/>
  <c r="O96" i="445"/>
  <c r="M96" i="446" s="1"/>
  <c r="O113" i="445"/>
  <c r="M113" i="446" s="1"/>
  <c r="O44" i="445"/>
  <c r="M43" i="446"/>
  <c r="O121" i="445"/>
  <c r="M121" i="446" s="1"/>
  <c r="C68" i="447"/>
  <c r="M70" i="446"/>
  <c r="D43" i="446"/>
  <c r="D109" i="446"/>
  <c r="D125" i="446" s="1"/>
  <c r="D130" i="446"/>
  <c r="D106" i="446"/>
  <c r="D92" i="446"/>
  <c r="O105" i="445"/>
  <c r="O131" i="445"/>
  <c r="M131" i="446" s="1"/>
  <c r="M102" i="446"/>
  <c r="I116" i="446"/>
  <c r="I120" i="446"/>
  <c r="C100" i="447"/>
  <c r="H99" i="447"/>
  <c r="C79" i="447"/>
  <c r="M81" i="446"/>
  <c r="O79" i="445"/>
  <c r="M80" i="446"/>
  <c r="C78" i="447"/>
  <c r="M130" i="446"/>
  <c r="H69" i="447"/>
  <c r="F69" i="447"/>
  <c r="C85" i="447"/>
  <c r="C84" i="447"/>
  <c r="AC9" i="453" l="1"/>
  <c r="AC35" i="453" s="1"/>
  <c r="AB35" i="453"/>
  <c r="E7" i="459" s="1"/>
  <c r="AK35" i="453"/>
  <c r="D85" i="446"/>
  <c r="D126" i="446" s="1"/>
  <c r="D124" i="446" s="1"/>
  <c r="D105" i="446"/>
  <c r="D104" i="446" s="1"/>
  <c r="E419" i="457"/>
  <c r="H485" i="457"/>
  <c r="H487" i="457" s="1"/>
  <c r="C562" i="457"/>
  <c r="C523" i="457"/>
  <c r="I440" i="457"/>
  <c r="E547" i="457"/>
  <c r="C522" i="457"/>
  <c r="H562" i="457"/>
  <c r="E485" i="457"/>
  <c r="E487" i="457" s="1"/>
  <c r="C561" i="457"/>
  <c r="E524" i="457"/>
  <c r="E500" i="457"/>
  <c r="E558" i="457" s="1"/>
  <c r="H561" i="457"/>
  <c r="E562" i="457"/>
  <c r="C524" i="457"/>
  <c r="C500" i="457"/>
  <c r="C504" i="457" s="1"/>
  <c r="E522" i="457"/>
  <c r="C527" i="457"/>
  <c r="H538" i="457"/>
  <c r="H524" i="457"/>
  <c r="H527" i="457"/>
  <c r="E483" i="457"/>
  <c r="E538" i="457"/>
  <c r="E462" i="457"/>
  <c r="E466" i="457" s="1"/>
  <c r="H427" i="457"/>
  <c r="H455" i="457" s="1"/>
  <c r="H454" i="457" s="1"/>
  <c r="C547" i="457"/>
  <c r="H465" i="457"/>
  <c r="H462" i="457"/>
  <c r="H466" i="457" s="1"/>
  <c r="E446" i="457"/>
  <c r="K462" i="457"/>
  <c r="K466" i="457" s="1"/>
  <c r="M466" i="457" s="1"/>
  <c r="H523" i="457"/>
  <c r="H492" i="457"/>
  <c r="E521" i="457"/>
  <c r="C485" i="457"/>
  <c r="C487" i="457" s="1"/>
  <c r="H522" i="457"/>
  <c r="E577" i="457"/>
  <c r="E561" i="457"/>
  <c r="C521" i="457"/>
  <c r="K582" i="457"/>
  <c r="M582" i="457" s="1"/>
  <c r="M583" i="457"/>
  <c r="M109" i="446"/>
  <c r="M30" i="446"/>
  <c r="C128" i="447"/>
  <c r="H128" i="447" s="1"/>
  <c r="C104" i="447"/>
  <c r="H104" i="447" s="1"/>
  <c r="C138" i="447"/>
  <c r="K32" i="447"/>
  <c r="C133" i="447"/>
  <c r="K33" i="447"/>
  <c r="K40" i="447"/>
  <c r="K34" i="447"/>
  <c r="K38" i="447"/>
  <c r="K36" i="447"/>
  <c r="K35" i="447"/>
  <c r="K41" i="447"/>
  <c r="C90" i="447"/>
  <c r="H90" i="447" s="1"/>
  <c r="I90" i="447" s="1"/>
  <c r="C107" i="447"/>
  <c r="C123" i="447" s="1"/>
  <c r="C114" i="447"/>
  <c r="H114" i="447" s="1"/>
  <c r="I114" i="447" s="1"/>
  <c r="K39" i="447"/>
  <c r="C115" i="447"/>
  <c r="H115" i="447" s="1"/>
  <c r="I115" i="447" s="1"/>
  <c r="K37" i="447"/>
  <c r="H36" i="447"/>
  <c r="I36" i="447" s="1"/>
  <c r="K42" i="447"/>
  <c r="D129" i="446"/>
  <c r="O129" i="445"/>
  <c r="M129" i="446" s="1"/>
  <c r="G29" i="460"/>
  <c r="AP24" i="453"/>
  <c r="AX24" i="453" s="1"/>
  <c r="AO9" i="453"/>
  <c r="AO35" i="453" s="1"/>
  <c r="AP13" i="453"/>
  <c r="AX13" i="453" s="1"/>
  <c r="AO26" i="453"/>
  <c r="AP26" i="453" s="1"/>
  <c r="AX26" i="453" s="1"/>
  <c r="AC26" i="453"/>
  <c r="B14" i="451"/>
  <c r="C14" i="451" s="1"/>
  <c r="B11" i="451"/>
  <c r="C11" i="451" s="1"/>
  <c r="BB26" i="453"/>
  <c r="BF26" i="453"/>
  <c r="BD26" i="453"/>
  <c r="BE26" i="453"/>
  <c r="BA26" i="453"/>
  <c r="BK26" i="453"/>
  <c r="BJ26" i="453" s="1"/>
  <c r="BB25" i="453"/>
  <c r="BE25" i="453"/>
  <c r="BF25" i="453"/>
  <c r="BK25" i="453"/>
  <c r="BJ25" i="453" s="1"/>
  <c r="BA25" i="453"/>
  <c r="BD25" i="453"/>
  <c r="AP11" i="453"/>
  <c r="AX11" i="453" s="1"/>
  <c r="BA11" i="453"/>
  <c r="BB11" i="453"/>
  <c r="BD11" i="453"/>
  <c r="BE11" i="453"/>
  <c r="BK11" i="453"/>
  <c r="BJ11" i="453" s="1"/>
  <c r="BF11" i="453"/>
  <c r="AN23" i="453"/>
  <c r="BA23" i="453" s="1"/>
  <c r="BK27" i="453"/>
  <c r="BJ27" i="453" s="1"/>
  <c r="BA27" i="453"/>
  <c r="BF27" i="453"/>
  <c r="AZ26" i="453"/>
  <c r="BF17" i="453"/>
  <c r="BA19" i="453"/>
  <c r="AP19" i="453"/>
  <c r="AX19" i="453" s="1"/>
  <c r="AN12" i="453"/>
  <c r="BD22" i="453"/>
  <c r="BB27" i="453"/>
  <c r="AP27" i="453"/>
  <c r="AX27" i="453" s="1"/>
  <c r="AZ15" i="453"/>
  <c r="AZ27" i="453"/>
  <c r="BB15" i="453"/>
  <c r="BD15" i="453"/>
  <c r="AN18" i="453"/>
  <c r="BE18" i="453" s="1"/>
  <c r="AZ25" i="453"/>
  <c r="BF15" i="453"/>
  <c r="BK15" i="453"/>
  <c r="BJ15" i="453" s="1"/>
  <c r="AN14" i="453"/>
  <c r="BA14" i="453" s="1"/>
  <c r="BK17" i="453"/>
  <c r="BJ17" i="453" s="1"/>
  <c r="BA17" i="453"/>
  <c r="AN21" i="453"/>
  <c r="BA21" i="453" s="1"/>
  <c r="AN16" i="453"/>
  <c r="BD17" i="453"/>
  <c r="E25" i="453"/>
  <c r="BB17" i="453"/>
  <c r="BE17" i="453"/>
  <c r="AZ17" i="453"/>
  <c r="AN28" i="453"/>
  <c r="BE28" i="453" s="1"/>
  <c r="E20" i="453"/>
  <c r="AN20" i="453"/>
  <c r="BK20" i="453" s="1"/>
  <c r="BJ20" i="453" s="1"/>
  <c r="E15" i="453"/>
  <c r="E14" i="453"/>
  <c r="E28" i="453"/>
  <c r="E18" i="453"/>
  <c r="E23" i="453"/>
  <c r="E17" i="453"/>
  <c r="E21" i="453"/>
  <c r="E22" i="453"/>
  <c r="E12" i="453"/>
  <c r="E16" i="453"/>
  <c r="BE19" i="453"/>
  <c r="BK22" i="453"/>
  <c r="BJ22" i="453" s="1"/>
  <c r="BA22" i="453"/>
  <c r="AZ22" i="453"/>
  <c r="BE22" i="453"/>
  <c r="BB22" i="453"/>
  <c r="BF22" i="453"/>
  <c r="AM9" i="453"/>
  <c r="AL35" i="453"/>
  <c r="L372" i="457"/>
  <c r="M372" i="457" s="1"/>
  <c r="F14" i="451"/>
  <c r="B35" i="455"/>
  <c r="C35" i="455" s="1"/>
  <c r="BD19" i="453"/>
  <c r="BF19" i="453"/>
  <c r="BB19" i="453"/>
  <c r="BK19" i="453"/>
  <c r="BJ19" i="453" s="1"/>
  <c r="AZ19" i="453"/>
  <c r="R11" i="445"/>
  <c r="D11" i="447" s="1"/>
  <c r="F11" i="447" s="1"/>
  <c r="R14" i="445"/>
  <c r="D14" i="447" s="1"/>
  <c r="F14" i="447" s="1"/>
  <c r="H419" i="457"/>
  <c r="E523" i="457"/>
  <c r="C492" i="457"/>
  <c r="C483" i="457"/>
  <c r="E527" i="457"/>
  <c r="E427" i="457"/>
  <c r="E570" i="457" s="1"/>
  <c r="H446" i="457"/>
  <c r="I421" i="457"/>
  <c r="I422" i="457" s="1"/>
  <c r="G538" i="457"/>
  <c r="C455" i="457"/>
  <c r="C454" i="457" s="1"/>
  <c r="G483" i="457"/>
  <c r="C550" i="457"/>
  <c r="C430" i="457"/>
  <c r="C568" i="457" s="1"/>
  <c r="G500" i="457"/>
  <c r="G564" i="457" s="1"/>
  <c r="G527" i="457"/>
  <c r="G577" i="457"/>
  <c r="G492" i="457"/>
  <c r="G524" i="457"/>
  <c r="G547" i="457"/>
  <c r="I419" i="457"/>
  <c r="G523" i="457"/>
  <c r="H577" i="457"/>
  <c r="H521" i="457"/>
  <c r="H483" i="457"/>
  <c r="C590" i="457"/>
  <c r="H565" i="457"/>
  <c r="H547" i="457"/>
  <c r="E459" i="457"/>
  <c r="E457" i="457" s="1"/>
  <c r="H556" i="457"/>
  <c r="K492" i="457"/>
  <c r="G522" i="457"/>
  <c r="G521" i="457"/>
  <c r="G459" i="457"/>
  <c r="G457" i="457" s="1"/>
  <c r="H71" i="447"/>
  <c r="I71" i="447" s="1"/>
  <c r="E111" i="447"/>
  <c r="E119" i="447"/>
  <c r="E94" i="447"/>
  <c r="M43" i="447"/>
  <c r="E118" i="447"/>
  <c r="D10" i="460"/>
  <c r="G562" i="457"/>
  <c r="F15" i="460"/>
  <c r="E20" i="460"/>
  <c r="K522" i="457"/>
  <c r="K527" i="457"/>
  <c r="K523" i="457"/>
  <c r="K521" i="457"/>
  <c r="K485" i="457"/>
  <c r="K487" i="457" s="1"/>
  <c r="K446" i="457"/>
  <c r="K538" i="457"/>
  <c r="K483" i="457"/>
  <c r="K562" i="457"/>
  <c r="K577" i="457"/>
  <c r="K524" i="457"/>
  <c r="K561" i="457"/>
  <c r="K459" i="457"/>
  <c r="K457" i="457" s="1"/>
  <c r="K500" i="457"/>
  <c r="K564" i="457" s="1"/>
  <c r="K465" i="457"/>
  <c r="M465" i="457" s="1"/>
  <c r="K427" i="457"/>
  <c r="K455" i="457" s="1"/>
  <c r="K454" i="457" s="1"/>
  <c r="K445" i="457"/>
  <c r="K441" i="457"/>
  <c r="I427" i="457"/>
  <c r="I570" i="457" s="1"/>
  <c r="G445" i="457"/>
  <c r="I521" i="457"/>
  <c r="G446" i="457"/>
  <c r="G561" i="457"/>
  <c r="I524" i="457"/>
  <c r="G427" i="457"/>
  <c r="G455" i="457" s="1"/>
  <c r="G454" i="457" s="1"/>
  <c r="G465" i="457"/>
  <c r="I445" i="457"/>
  <c r="I522" i="457"/>
  <c r="C510" i="457"/>
  <c r="C542" i="457"/>
  <c r="C591" i="457"/>
  <c r="C540" i="457"/>
  <c r="C579" i="457"/>
  <c r="I550" i="457"/>
  <c r="I430" i="457"/>
  <c r="I568" i="457" s="1"/>
  <c r="I485" i="457"/>
  <c r="I487" i="457" s="1"/>
  <c r="I527" i="457"/>
  <c r="G430" i="457"/>
  <c r="G568" i="457" s="1"/>
  <c r="G550" i="457"/>
  <c r="I547" i="457"/>
  <c r="I500" i="457"/>
  <c r="I558" i="457" s="1"/>
  <c r="I538" i="457"/>
  <c r="F427" i="457"/>
  <c r="F419" i="457"/>
  <c r="F445" i="457"/>
  <c r="F446" i="457"/>
  <c r="H430" i="457"/>
  <c r="H568" i="457" s="1"/>
  <c r="H550" i="457"/>
  <c r="F565" i="457"/>
  <c r="I577" i="457"/>
  <c r="C457" i="457"/>
  <c r="C569" i="457"/>
  <c r="I562" i="457"/>
  <c r="F465" i="457"/>
  <c r="F459" i="457"/>
  <c r="F462" i="457"/>
  <c r="F466" i="457" s="1"/>
  <c r="G565" i="457"/>
  <c r="I561" i="457"/>
  <c r="I492" i="457"/>
  <c r="F492" i="457"/>
  <c r="F562" i="457"/>
  <c r="F485" i="457"/>
  <c r="F487" i="457" s="1"/>
  <c r="F522" i="457"/>
  <c r="F521" i="457"/>
  <c r="F500" i="457"/>
  <c r="F577" i="457"/>
  <c r="F547" i="457"/>
  <c r="F527" i="457"/>
  <c r="F524" i="457"/>
  <c r="F561" i="457"/>
  <c r="F523" i="457"/>
  <c r="C477" i="457"/>
  <c r="D476" i="457"/>
  <c r="D477" i="457" s="1"/>
  <c r="I523" i="457"/>
  <c r="F483" i="457"/>
  <c r="G556" i="457"/>
  <c r="G554" i="457"/>
  <c r="E550" i="457"/>
  <c r="E430" i="457"/>
  <c r="E568" i="457" s="1"/>
  <c r="C538" i="457"/>
  <c r="BA13" i="453"/>
  <c r="AZ13" i="453"/>
  <c r="BD13" i="453"/>
  <c r="BB13" i="453"/>
  <c r="BF13" i="453"/>
  <c r="BK13" i="453"/>
  <c r="BJ13" i="453" s="1"/>
  <c r="BE13" i="453"/>
  <c r="J565" i="457"/>
  <c r="D504" i="457"/>
  <c r="D563" i="457"/>
  <c r="D564" i="457"/>
  <c r="D531" i="457"/>
  <c r="D539" i="457"/>
  <c r="D525" i="457"/>
  <c r="D535" i="457"/>
  <c r="D558" i="457"/>
  <c r="D560" i="457"/>
  <c r="D570" i="457"/>
  <c r="D455" i="457"/>
  <c r="D454" i="457" s="1"/>
  <c r="D155" i="452"/>
  <c r="C159" i="452"/>
  <c r="L159" i="457" s="1"/>
  <c r="M159" i="457" s="1"/>
  <c r="J430" i="457"/>
  <c r="J550" i="457"/>
  <c r="AZ11" i="453"/>
  <c r="H539" i="457"/>
  <c r="H504" i="457"/>
  <c r="H525" i="457"/>
  <c r="H535" i="457"/>
  <c r="H558" i="457"/>
  <c r="H560" i="457"/>
  <c r="H564" i="457"/>
  <c r="H563" i="457"/>
  <c r="H531" i="457"/>
  <c r="D188" i="452"/>
  <c r="H457" i="457"/>
  <c r="H569" i="457"/>
  <c r="D550" i="457"/>
  <c r="D430" i="457"/>
  <c r="D568" i="457" s="1"/>
  <c r="J469" i="457"/>
  <c r="I457" i="457"/>
  <c r="I569" i="457"/>
  <c r="E476" i="457"/>
  <c r="E477" i="457" s="1"/>
  <c r="D512" i="457"/>
  <c r="D513" i="457" s="1"/>
  <c r="D540" i="457"/>
  <c r="D579" i="457"/>
  <c r="D510" i="457"/>
  <c r="D591" i="457"/>
  <c r="D542" i="457"/>
  <c r="E512" i="457"/>
  <c r="E513" i="457" s="1"/>
  <c r="I83" i="452"/>
  <c r="I84" i="452"/>
  <c r="I26" i="452"/>
  <c r="I36" i="452"/>
  <c r="I11" i="452"/>
  <c r="I12" i="452"/>
  <c r="I13" i="452"/>
  <c r="I14" i="452"/>
  <c r="I37" i="452"/>
  <c r="I52" i="452"/>
  <c r="I85" i="452"/>
  <c r="I86" i="452"/>
  <c r="I87" i="452"/>
  <c r="I88" i="452"/>
  <c r="I89" i="452"/>
  <c r="I90" i="452"/>
  <c r="I91" i="452"/>
  <c r="I92" i="452"/>
  <c r="I93" i="452"/>
  <c r="I94" i="452"/>
  <c r="K131" i="452"/>
  <c r="I155" i="452"/>
  <c r="I172" i="452"/>
  <c r="I173" i="452"/>
  <c r="I174" i="452"/>
  <c r="I175" i="452"/>
  <c r="I33" i="452"/>
  <c r="I40" i="452"/>
  <c r="I50" i="452"/>
  <c r="I117" i="452"/>
  <c r="I131" i="452"/>
  <c r="I146" i="452"/>
  <c r="I147" i="452"/>
  <c r="I152" i="452"/>
  <c r="I201" i="452"/>
  <c r="I213" i="452"/>
  <c r="I221" i="452"/>
  <c r="I222" i="452"/>
  <c r="I223" i="452"/>
  <c r="I224" i="452"/>
  <c r="I225" i="452"/>
  <c r="I226" i="452"/>
  <c r="I227" i="452"/>
  <c r="I228" i="452"/>
  <c r="I229" i="452"/>
  <c r="I234" i="452"/>
  <c r="I235" i="452"/>
  <c r="I236" i="452"/>
  <c r="I237" i="452"/>
  <c r="I135" i="452"/>
  <c r="I218" i="452"/>
  <c r="I259" i="452"/>
  <c r="I297" i="452"/>
  <c r="I316" i="452"/>
  <c r="I54" i="452"/>
  <c r="I69" i="452"/>
  <c r="I100" i="452"/>
  <c r="I102" i="452"/>
  <c r="I103" i="452"/>
  <c r="I104" i="452"/>
  <c r="I105" i="452"/>
  <c r="I106" i="452"/>
  <c r="I107" i="452"/>
  <c r="I108" i="452"/>
  <c r="I109" i="452"/>
  <c r="I110" i="452"/>
  <c r="I116" i="452"/>
  <c r="I123" i="452"/>
  <c r="I167" i="452"/>
  <c r="I180" i="452"/>
  <c r="I192" i="452"/>
  <c r="I193" i="452"/>
  <c r="I194" i="452"/>
  <c r="I195" i="452"/>
  <c r="I200" i="452"/>
  <c r="I212" i="452"/>
  <c r="I220" i="452"/>
  <c r="I261" i="452"/>
  <c r="I262" i="452"/>
  <c r="I263" i="452"/>
  <c r="I264" i="452"/>
  <c r="I265" i="452"/>
  <c r="I270" i="452"/>
  <c r="I271" i="452"/>
  <c r="I272" i="452"/>
  <c r="I273" i="452"/>
  <c r="I274" i="452"/>
  <c r="I298" i="452"/>
  <c r="I299" i="452"/>
  <c r="I300" i="452"/>
  <c r="I301" i="452"/>
  <c r="I302" i="452"/>
  <c r="I303" i="452"/>
  <c r="I304" i="452"/>
  <c r="I306" i="452"/>
  <c r="I307" i="452"/>
  <c r="I308" i="452"/>
  <c r="I334" i="452"/>
  <c r="I335" i="452"/>
  <c r="I336" i="452"/>
  <c r="I342" i="452"/>
  <c r="I38" i="452"/>
  <c r="I178" i="452"/>
  <c r="I206" i="452"/>
  <c r="I260" i="452"/>
  <c r="I35" i="452"/>
  <c r="I39" i="452"/>
  <c r="I43" i="452"/>
  <c r="I49" i="452"/>
  <c r="I74" i="452"/>
  <c r="I115" i="452"/>
  <c r="I162" i="452"/>
  <c r="I163" i="452"/>
  <c r="I164" i="452"/>
  <c r="I165" i="452"/>
  <c r="I166" i="452"/>
  <c r="I179" i="452"/>
  <c r="I183" i="452"/>
  <c r="I184" i="452"/>
  <c r="I185" i="452"/>
  <c r="I186" i="452"/>
  <c r="I199" i="452"/>
  <c r="I211" i="452"/>
  <c r="I219" i="452"/>
  <c r="I325" i="452"/>
  <c r="I326" i="452"/>
  <c r="I327" i="452"/>
  <c r="I328" i="452"/>
  <c r="I32" i="452"/>
  <c r="I53" i="452"/>
  <c r="I258" i="452"/>
  <c r="I55" i="452"/>
  <c r="I61" i="452"/>
  <c r="I62" i="452"/>
  <c r="I63" i="452"/>
  <c r="I64" i="452"/>
  <c r="I65" i="452"/>
  <c r="I66" i="452"/>
  <c r="I67" i="452"/>
  <c r="I95" i="452"/>
  <c r="I118" i="452"/>
  <c r="I148" i="452"/>
  <c r="I181" i="452"/>
  <c r="I202" i="452"/>
  <c r="I214" i="452"/>
  <c r="I238" i="452"/>
  <c r="I239" i="452"/>
  <c r="I240" i="452"/>
  <c r="I241" i="452"/>
  <c r="I242" i="452"/>
  <c r="I243" i="452"/>
  <c r="I244" i="452"/>
  <c r="I245" i="452"/>
  <c r="I246" i="452"/>
  <c r="I247" i="452"/>
  <c r="I248" i="452"/>
  <c r="I249" i="452"/>
  <c r="I250" i="452"/>
  <c r="I251" i="452"/>
  <c r="I252" i="452"/>
  <c r="I253" i="452"/>
  <c r="I254" i="452"/>
  <c r="I275" i="452"/>
  <c r="I309" i="452"/>
  <c r="I310" i="452"/>
  <c r="I122" i="452"/>
  <c r="I41" i="452"/>
  <c r="I56" i="452"/>
  <c r="I144" i="452"/>
  <c r="I150" i="452"/>
  <c r="I182" i="452"/>
  <c r="I188" i="452"/>
  <c r="I198" i="452"/>
  <c r="I203" i="452"/>
  <c r="I287" i="452"/>
  <c r="I296" i="452"/>
  <c r="I51" i="452"/>
  <c r="I157" i="452"/>
  <c r="I216" i="452"/>
  <c r="I21" i="452"/>
  <c r="I48" i="452"/>
  <c r="I134" i="452"/>
  <c r="I156" i="452"/>
  <c r="I176" i="452"/>
  <c r="I286" i="452"/>
  <c r="I137" i="452"/>
  <c r="I338" i="452"/>
  <c r="I20" i="452"/>
  <c r="I169" i="452"/>
  <c r="I196" i="452"/>
  <c r="I282" i="452"/>
  <c r="I294" i="452"/>
  <c r="I293" i="452"/>
  <c r="I34" i="452"/>
  <c r="I42" i="452"/>
  <c r="I120" i="452"/>
  <c r="I197" i="452"/>
  <c r="I217" i="452"/>
  <c r="I285" i="452"/>
  <c r="I346" i="452"/>
  <c r="I205" i="452"/>
  <c r="I284" i="452"/>
  <c r="I283" i="452"/>
  <c r="I295" i="452"/>
  <c r="I257" i="452"/>
  <c r="I256" i="452"/>
  <c r="I281" i="452"/>
  <c r="I68" i="452"/>
  <c r="I119" i="452"/>
  <c r="I215" i="452"/>
  <c r="I255" i="452"/>
  <c r="I276" i="452"/>
  <c r="I288" i="452"/>
  <c r="I330" i="452"/>
  <c r="I149" i="452"/>
  <c r="I177" i="452"/>
  <c r="I121" i="452"/>
  <c r="I204" i="452"/>
  <c r="I101" i="452"/>
  <c r="I78" i="452"/>
  <c r="I97" i="452"/>
  <c r="H97" i="452" s="1"/>
  <c r="I76" i="452"/>
  <c r="I16" i="452"/>
  <c r="I28" i="452"/>
  <c r="I159" i="452"/>
  <c r="I45" i="452"/>
  <c r="I23" i="452"/>
  <c r="H23" i="452" s="1"/>
  <c r="I125" i="452"/>
  <c r="H125" i="452" s="1"/>
  <c r="I319" i="452"/>
  <c r="J427" i="457"/>
  <c r="J419" i="457"/>
  <c r="J445" i="457"/>
  <c r="J446" i="457"/>
  <c r="F550" i="457"/>
  <c r="F430" i="457"/>
  <c r="F568" i="457" s="1"/>
  <c r="C28" i="458"/>
  <c r="E28" i="458" s="1"/>
  <c r="C24" i="458"/>
  <c r="C25" i="458" s="1"/>
  <c r="E25" i="458" s="1"/>
  <c r="D156" i="452"/>
  <c r="D441" i="457"/>
  <c r="D590" i="457"/>
  <c r="I441" i="457"/>
  <c r="I590" i="457"/>
  <c r="H441" i="457"/>
  <c r="H590" i="457"/>
  <c r="D569" i="457"/>
  <c r="D457" i="457"/>
  <c r="J492" i="457"/>
  <c r="J500" i="457"/>
  <c r="J485" i="457"/>
  <c r="J577" i="457"/>
  <c r="J521" i="457"/>
  <c r="J527" i="457"/>
  <c r="J522" i="457"/>
  <c r="J562" i="457"/>
  <c r="J547" i="457"/>
  <c r="J561" i="457"/>
  <c r="J538" i="457"/>
  <c r="J524" i="457"/>
  <c r="J523" i="457"/>
  <c r="J483" i="457"/>
  <c r="G441" i="457"/>
  <c r="G590" i="457"/>
  <c r="BD24" i="453"/>
  <c r="BE24" i="453"/>
  <c r="BB24" i="453"/>
  <c r="BK24" i="453"/>
  <c r="BJ24" i="453" s="1"/>
  <c r="BF24" i="453"/>
  <c r="BA24" i="453"/>
  <c r="AZ24" i="453"/>
  <c r="J582" i="457"/>
  <c r="AQ36" i="453"/>
  <c r="AQ38" i="453" s="1"/>
  <c r="B8" i="451" s="1"/>
  <c r="C8" i="451" s="1"/>
  <c r="E441" i="457"/>
  <c r="E590" i="457"/>
  <c r="J465" i="457"/>
  <c r="J459" i="457"/>
  <c r="H93" i="447"/>
  <c r="I93" i="447" s="1"/>
  <c r="C77" i="447"/>
  <c r="M79" i="446"/>
  <c r="D81" i="446"/>
  <c r="D79" i="446" s="1"/>
  <c r="D87" i="446"/>
  <c r="D86" i="446"/>
  <c r="H110" i="447"/>
  <c r="I110" i="447" s="1"/>
  <c r="H30" i="447"/>
  <c r="I30" i="447" s="1"/>
  <c r="D113" i="446"/>
  <c r="D44" i="446"/>
  <c r="D121" i="446"/>
  <c r="D96" i="446"/>
  <c r="C111" i="447"/>
  <c r="C119" i="447"/>
  <c r="C118" i="447"/>
  <c r="H43" i="447"/>
  <c r="I43" i="447" s="1"/>
  <c r="C94" i="447"/>
  <c r="K43" i="447"/>
  <c r="H79" i="447"/>
  <c r="I79" i="447" s="1"/>
  <c r="M105" i="446"/>
  <c r="O104" i="445"/>
  <c r="M104" i="446" s="1"/>
  <c r="M125" i="446"/>
  <c r="O124" i="445"/>
  <c r="M124" i="446" s="1"/>
  <c r="D63" i="446"/>
  <c r="H85" i="447"/>
  <c r="I85" i="447" s="1"/>
  <c r="F78" i="447"/>
  <c r="G78" i="447" s="1"/>
  <c r="H78" i="447"/>
  <c r="I78" i="447" s="1"/>
  <c r="H68" i="447"/>
  <c r="H61" i="447"/>
  <c r="I61" i="447" s="1"/>
  <c r="M44" i="446"/>
  <c r="C44" i="447"/>
  <c r="D73" i="446"/>
  <c r="D116" i="446" s="1"/>
  <c r="D67" i="446"/>
  <c r="H84" i="447"/>
  <c r="I84" i="447" s="1"/>
  <c r="C129" i="447"/>
  <c r="H100" i="447"/>
  <c r="I100" i="447" s="1"/>
  <c r="C134" i="447"/>
  <c r="D138" i="447"/>
  <c r="C103" i="447"/>
  <c r="C134" i="452" l="1"/>
  <c r="L134" i="457" s="1"/>
  <c r="M134" i="457" s="1"/>
  <c r="C7" i="459"/>
  <c r="J7" i="459" s="1"/>
  <c r="E535" i="457"/>
  <c r="E525" i="457"/>
  <c r="C563" i="457"/>
  <c r="C539" i="457"/>
  <c r="H570" i="457"/>
  <c r="E539" i="457"/>
  <c r="C564" i="457"/>
  <c r="E531" i="457"/>
  <c r="E504" i="457"/>
  <c r="E526" i="457" s="1"/>
  <c r="C558" i="457"/>
  <c r="E560" i="457"/>
  <c r="C535" i="457"/>
  <c r="C531" i="457"/>
  <c r="E564" i="457"/>
  <c r="E455" i="457"/>
  <c r="E454" i="457" s="1"/>
  <c r="C525" i="457"/>
  <c r="G558" i="457"/>
  <c r="E563" i="457"/>
  <c r="C560" i="457"/>
  <c r="I525" i="457"/>
  <c r="I107" i="447"/>
  <c r="I312" i="452"/>
  <c r="I112" i="452"/>
  <c r="I290" i="452"/>
  <c r="I231" i="452"/>
  <c r="I208" i="452"/>
  <c r="I267" i="452"/>
  <c r="I58" i="452"/>
  <c r="I71" i="452"/>
  <c r="I278" i="452"/>
  <c r="G33" i="460"/>
  <c r="H29" i="460"/>
  <c r="AO28" i="453"/>
  <c r="AP28" i="453" s="1"/>
  <c r="AX28" i="453" s="1"/>
  <c r="AC28" i="453"/>
  <c r="AO14" i="453"/>
  <c r="AP14" i="453" s="1"/>
  <c r="AX14" i="453" s="1"/>
  <c r="AC14" i="453"/>
  <c r="AO17" i="453"/>
  <c r="AP17" i="453" s="1"/>
  <c r="AX17" i="453" s="1"/>
  <c r="AC17" i="453"/>
  <c r="AO12" i="453"/>
  <c r="AP12" i="453" s="1"/>
  <c r="AX12" i="453" s="1"/>
  <c r="AC12" i="453"/>
  <c r="AO15" i="453"/>
  <c r="AP15" i="453" s="1"/>
  <c r="AX15" i="453" s="1"/>
  <c r="AC15" i="453"/>
  <c r="AO23" i="453"/>
  <c r="AP23" i="453" s="1"/>
  <c r="AX23" i="453" s="1"/>
  <c r="AC23" i="453"/>
  <c r="AO22" i="453"/>
  <c r="AP22" i="453" s="1"/>
  <c r="AX22" i="453" s="1"/>
  <c r="AC22" i="453"/>
  <c r="AO18" i="453"/>
  <c r="AP18" i="453" s="1"/>
  <c r="AX18" i="453" s="1"/>
  <c r="AC18" i="453"/>
  <c r="AO16" i="453"/>
  <c r="AP16" i="453" s="1"/>
  <c r="AX16" i="453" s="1"/>
  <c r="AC16" i="453"/>
  <c r="AO25" i="453"/>
  <c r="AP25" i="453" s="1"/>
  <c r="AX25" i="453" s="1"/>
  <c r="AC25" i="453"/>
  <c r="AO21" i="453"/>
  <c r="AP21" i="453" s="1"/>
  <c r="AX21" i="453" s="1"/>
  <c r="AC21" i="453"/>
  <c r="AO20" i="453"/>
  <c r="AP20" i="453" s="1"/>
  <c r="AX20" i="453" s="1"/>
  <c r="AC20" i="453"/>
  <c r="BC26" i="453"/>
  <c r="BC25" i="453"/>
  <c r="BE23" i="453"/>
  <c r="BD23" i="453"/>
  <c r="BF23" i="453"/>
  <c r="BB23" i="453"/>
  <c r="BC11" i="453"/>
  <c r="AZ23" i="453"/>
  <c r="BK23" i="453"/>
  <c r="BJ23" i="453" s="1"/>
  <c r="BB28" i="453"/>
  <c r="BB14" i="453"/>
  <c r="BD28" i="453"/>
  <c r="BK21" i="453"/>
  <c r="BJ21" i="453" s="1"/>
  <c r="BD14" i="453"/>
  <c r="BB21" i="453"/>
  <c r="BK14" i="453"/>
  <c r="BJ14" i="453" s="1"/>
  <c r="BC27" i="453"/>
  <c r="AZ14" i="453"/>
  <c r="BE14" i="453"/>
  <c r="BD20" i="453"/>
  <c r="BF12" i="453"/>
  <c r="BF14" i="453"/>
  <c r="BA12" i="453"/>
  <c r="AZ16" i="453"/>
  <c r="BC17" i="453"/>
  <c r="BK12" i="453"/>
  <c r="BJ12" i="453" s="1"/>
  <c r="BE12" i="453"/>
  <c r="BB18" i="453"/>
  <c r="BE21" i="453"/>
  <c r="AZ12" i="453"/>
  <c r="BK18" i="453"/>
  <c r="BJ18" i="453" s="1"/>
  <c r="BB12" i="453"/>
  <c r="BD12" i="453"/>
  <c r="AZ28" i="453"/>
  <c r="BC15" i="453"/>
  <c r="BA18" i="453"/>
  <c r="BD21" i="453"/>
  <c r="BF18" i="453"/>
  <c r="BA28" i="453"/>
  <c r="AZ18" i="453"/>
  <c r="BD18" i="453"/>
  <c r="BA16" i="453"/>
  <c r="BK16" i="453"/>
  <c r="BJ16" i="453" s="1"/>
  <c r="AZ20" i="453"/>
  <c r="BE16" i="453"/>
  <c r="AZ21" i="453"/>
  <c r="BB16" i="453"/>
  <c r="BF21" i="453"/>
  <c r="BB20" i="453"/>
  <c r="BA20" i="453"/>
  <c r="BD16" i="453"/>
  <c r="BF16" i="453"/>
  <c r="BF20" i="453"/>
  <c r="BE20" i="453"/>
  <c r="BF28" i="453"/>
  <c r="BK28" i="453"/>
  <c r="BJ28" i="453" s="1"/>
  <c r="BC22" i="453"/>
  <c r="B7" i="459"/>
  <c r="AN9" i="453"/>
  <c r="AM35" i="453"/>
  <c r="BC19" i="453"/>
  <c r="G563" i="457"/>
  <c r="G560" i="457"/>
  <c r="G539" i="457"/>
  <c r="G531" i="457"/>
  <c r="G535" i="457"/>
  <c r="G504" i="457"/>
  <c r="G506" i="457" s="1"/>
  <c r="G525" i="457"/>
  <c r="C441" i="457"/>
  <c r="E569" i="457"/>
  <c r="I455" i="457"/>
  <c r="I454" i="457" s="1"/>
  <c r="G569" i="457"/>
  <c r="I564" i="457"/>
  <c r="E10" i="460"/>
  <c r="G570" i="457"/>
  <c r="G15" i="460"/>
  <c r="F20" i="460"/>
  <c r="C26" i="458"/>
  <c r="E26" i="458" s="1"/>
  <c r="K558" i="457"/>
  <c r="K504" i="457"/>
  <c r="K526" i="457" s="1"/>
  <c r="K539" i="457"/>
  <c r="K535" i="457"/>
  <c r="K570" i="457"/>
  <c r="K560" i="457"/>
  <c r="K569" i="457"/>
  <c r="K590" i="457"/>
  <c r="M590" i="457" s="1"/>
  <c r="K525" i="457"/>
  <c r="K531" i="457"/>
  <c r="K563" i="457"/>
  <c r="K451" i="457"/>
  <c r="K450" i="457"/>
  <c r="K431" i="457"/>
  <c r="K423" i="457"/>
  <c r="I539" i="457"/>
  <c r="I560" i="457"/>
  <c r="I531" i="457"/>
  <c r="I563" i="457"/>
  <c r="I504" i="457"/>
  <c r="I526" i="457" s="1"/>
  <c r="I535" i="457"/>
  <c r="C526" i="457"/>
  <c r="C506" i="457"/>
  <c r="F569" i="457"/>
  <c r="F457" i="457"/>
  <c r="F590" i="457"/>
  <c r="F441" i="457"/>
  <c r="F504" i="457"/>
  <c r="F531" i="457"/>
  <c r="F560" i="457"/>
  <c r="F564" i="457"/>
  <c r="F525" i="457"/>
  <c r="F563" i="457"/>
  <c r="F535" i="457"/>
  <c r="F539" i="457"/>
  <c r="F558" i="457"/>
  <c r="F570" i="457"/>
  <c r="F455" i="457"/>
  <c r="F454" i="457" s="1"/>
  <c r="BC13" i="453"/>
  <c r="BC24" i="453"/>
  <c r="J466" i="457"/>
  <c r="J455" i="457"/>
  <c r="J570" i="457"/>
  <c r="J504" i="457"/>
  <c r="J560" i="457"/>
  <c r="J531" i="457"/>
  <c r="J525" i="457"/>
  <c r="J535" i="457"/>
  <c r="J539" i="457"/>
  <c r="J558" i="457"/>
  <c r="J563" i="457"/>
  <c r="J564" i="457"/>
  <c r="E431" i="457"/>
  <c r="E451" i="457"/>
  <c r="E450" i="457"/>
  <c r="E423" i="457"/>
  <c r="I140" i="452"/>
  <c r="K140" i="452"/>
  <c r="D159" i="452"/>
  <c r="Q38" i="445"/>
  <c r="J568" i="457"/>
  <c r="I423" i="457"/>
  <c r="I451" i="457"/>
  <c r="I431" i="457"/>
  <c r="I450" i="457"/>
  <c r="J457" i="457"/>
  <c r="J569" i="457"/>
  <c r="E24" i="458"/>
  <c r="H506" i="457"/>
  <c r="H526" i="457"/>
  <c r="G423" i="457"/>
  <c r="G431" i="457"/>
  <c r="G450" i="457"/>
  <c r="G451" i="457"/>
  <c r="J487" i="457"/>
  <c r="H431" i="457"/>
  <c r="H423" i="457"/>
  <c r="H450" i="457"/>
  <c r="H451" i="457"/>
  <c r="J441" i="457"/>
  <c r="J590" i="457"/>
  <c r="D431" i="457"/>
  <c r="D450" i="457"/>
  <c r="D451" i="457"/>
  <c r="D423" i="457"/>
  <c r="D506" i="457"/>
  <c r="D526" i="457"/>
  <c r="H129" i="447"/>
  <c r="H44" i="447"/>
  <c r="H111" i="447"/>
  <c r="I111" i="447" s="1"/>
  <c r="H123" i="447"/>
  <c r="C127" i="447"/>
  <c r="H94" i="447"/>
  <c r="I94" i="447" s="1"/>
  <c r="D120" i="446"/>
  <c r="H118" i="447"/>
  <c r="I118" i="447" s="1"/>
  <c r="H119" i="447"/>
  <c r="I119" i="447" s="1"/>
  <c r="H77" i="447"/>
  <c r="I77" i="447" s="1"/>
  <c r="C102" i="447"/>
  <c r="H103" i="447"/>
  <c r="E506" i="457" l="1"/>
  <c r="E533" i="457" s="1"/>
  <c r="G526" i="457"/>
  <c r="I29" i="460"/>
  <c r="H33" i="460"/>
  <c r="AC36" i="453"/>
  <c r="AC38" i="453" s="1"/>
  <c r="D7" i="451" s="1"/>
  <c r="E7" i="451" s="1"/>
  <c r="AP9" i="453"/>
  <c r="AX9" i="453" s="1"/>
  <c r="AX35" i="453" s="1"/>
  <c r="BK9" i="453"/>
  <c r="BK35" i="453" s="1"/>
  <c r="BC23" i="453"/>
  <c r="BC21" i="453"/>
  <c r="BC14" i="453"/>
  <c r="BC12" i="453"/>
  <c r="AP36" i="453"/>
  <c r="C146" i="452" s="1"/>
  <c r="BC18" i="453"/>
  <c r="BC20" i="453"/>
  <c r="BC16" i="453"/>
  <c r="BC28" i="453"/>
  <c r="BE9" i="453"/>
  <c r="BE35" i="453" s="1"/>
  <c r="BA9" i="453"/>
  <c r="BB9" i="453"/>
  <c r="BB35" i="453" s="1"/>
  <c r="AZ9" i="453"/>
  <c r="AZ35" i="453" s="1"/>
  <c r="BF9" i="453"/>
  <c r="BF35" i="453" s="1"/>
  <c r="BD9" i="453"/>
  <c r="BD35" i="453" s="1"/>
  <c r="AN35" i="453"/>
  <c r="I7" i="459"/>
  <c r="I506" i="457"/>
  <c r="I559" i="457" s="1"/>
  <c r="C423" i="457"/>
  <c r="C431" i="457"/>
  <c r="C450" i="457"/>
  <c r="C451" i="457"/>
  <c r="C27" i="458"/>
  <c r="E27" i="458" s="1"/>
  <c r="E30" i="458" s="1"/>
  <c r="F30" i="458" s="1"/>
  <c r="F32" i="458" s="1"/>
  <c r="C10" i="454" s="1"/>
  <c r="C342" i="452" s="1"/>
  <c r="F10" i="460"/>
  <c r="H15" i="460"/>
  <c r="G20" i="460"/>
  <c r="K506" i="457"/>
  <c r="K559" i="457" s="1"/>
  <c r="C533" i="457"/>
  <c r="C508" i="457"/>
  <c r="C528" i="457" s="1"/>
  <c r="C559" i="457"/>
  <c r="F506" i="457"/>
  <c r="F526" i="457"/>
  <c r="F423" i="457"/>
  <c r="F450" i="457"/>
  <c r="F451" i="457"/>
  <c r="F431" i="457"/>
  <c r="K322" i="452"/>
  <c r="I322" i="452"/>
  <c r="D134" i="452"/>
  <c r="J423" i="457"/>
  <c r="J431" i="457"/>
  <c r="J451" i="457"/>
  <c r="J450" i="457"/>
  <c r="H508" i="457"/>
  <c r="H528" i="457" s="1"/>
  <c r="H533" i="457"/>
  <c r="H559" i="457"/>
  <c r="N38" i="446"/>
  <c r="R38" i="445"/>
  <c r="D38" i="447" s="1"/>
  <c r="J506" i="457"/>
  <c r="J526" i="457"/>
  <c r="J454" i="457"/>
  <c r="D508" i="457"/>
  <c r="D528" i="457" s="1"/>
  <c r="D559" i="457"/>
  <c r="D533" i="457"/>
  <c r="G533" i="457"/>
  <c r="G559" i="457"/>
  <c r="G508" i="457"/>
  <c r="G528" i="457" s="1"/>
  <c r="C132" i="447"/>
  <c r="H127" i="447"/>
  <c r="H102" i="447"/>
  <c r="I102" i="447" s="1"/>
  <c r="E508" i="457" l="1"/>
  <c r="E528" i="457" s="1"/>
  <c r="E559" i="457"/>
  <c r="I508" i="457"/>
  <c r="I528" i="457" s="1"/>
  <c r="I533" i="457"/>
  <c r="J29" i="460"/>
  <c r="I33" i="460"/>
  <c r="F7" i="451"/>
  <c r="Q10" i="445"/>
  <c r="N10" i="446" s="1"/>
  <c r="L365" i="457"/>
  <c r="M365" i="457" s="1"/>
  <c r="BJ9" i="453"/>
  <c r="BJ35" i="453" s="1"/>
  <c r="L146" i="457"/>
  <c r="M146" i="457" s="1"/>
  <c r="D146" i="452"/>
  <c r="BC9" i="453"/>
  <c r="BC35" i="453" s="1"/>
  <c r="BA35" i="453"/>
  <c r="AP35" i="453"/>
  <c r="C144" i="452" s="1"/>
  <c r="K533" i="457"/>
  <c r="K508" i="457"/>
  <c r="K528" i="457" s="1"/>
  <c r="I15" i="460"/>
  <c r="H20" i="460"/>
  <c r="C30" i="458"/>
  <c r="G10" i="460"/>
  <c r="F559" i="457"/>
  <c r="F533" i="457"/>
  <c r="F508" i="457"/>
  <c r="F528" i="457" s="1"/>
  <c r="J559" i="457"/>
  <c r="J508" i="457"/>
  <c r="J528" i="457" s="1"/>
  <c r="J533" i="457"/>
  <c r="L342" i="457"/>
  <c r="M342" i="457" s="1"/>
  <c r="C340" i="452"/>
  <c r="D342" i="452"/>
  <c r="K340" i="452"/>
  <c r="I340" i="452"/>
  <c r="F38" i="447"/>
  <c r="K29" i="460" l="1"/>
  <c r="J33" i="460"/>
  <c r="R10" i="445"/>
  <c r="D10" i="447" s="1"/>
  <c r="F10" i="447" s="1"/>
  <c r="L144" i="457"/>
  <c r="M144" i="457" s="1"/>
  <c r="AP38" i="453"/>
  <c r="B7" i="451" s="1"/>
  <c r="H10" i="460"/>
  <c r="I20" i="460"/>
  <c r="J15" i="460"/>
  <c r="L340" i="457"/>
  <c r="M340" i="457" s="1"/>
  <c r="D340" i="452"/>
  <c r="L507" i="457"/>
  <c r="M507" i="457" s="1"/>
  <c r="K344" i="452"/>
  <c r="I344" i="452"/>
  <c r="L29" i="460" l="1"/>
  <c r="K33" i="460"/>
  <c r="C7" i="451"/>
  <c r="D144" i="452"/>
  <c r="I10" i="460"/>
  <c r="J20" i="460"/>
  <c r="K15" i="460"/>
  <c r="I348" i="452"/>
  <c r="K348" i="452"/>
  <c r="M29" i="460" l="1"/>
  <c r="L33" i="460"/>
  <c r="K20" i="460"/>
  <c r="L15" i="460"/>
  <c r="J10" i="460"/>
  <c r="M33" i="460" l="1"/>
  <c r="N29" i="460"/>
  <c r="M15" i="460"/>
  <c r="L20" i="460"/>
  <c r="K10" i="460"/>
  <c r="L10" i="460" l="1"/>
  <c r="M20" i="460"/>
  <c r="N15" i="460"/>
  <c r="N20" i="460" s="1"/>
  <c r="M10" i="460" l="1"/>
  <c r="N10" i="460" l="1"/>
  <c r="AL31" i="453" l="1"/>
  <c r="AL32" i="453"/>
  <c r="AM32" i="453" s="1"/>
  <c r="AL30" i="453"/>
  <c r="AL33" i="453"/>
  <c r="AM33" i="453" s="1"/>
  <c r="AN33" i="453" s="1"/>
  <c r="AO32" i="453" l="1"/>
  <c r="E32" i="453"/>
  <c r="AO31" i="453"/>
  <c r="E31" i="453"/>
  <c r="AO30" i="453"/>
  <c r="E30" i="453"/>
  <c r="AO33" i="453"/>
  <c r="E33" i="453"/>
  <c r="AM30" i="453"/>
  <c r="AN30" i="453" s="1"/>
  <c r="BE33" i="453"/>
  <c r="AR33" i="453"/>
  <c r="BD33" i="453"/>
  <c r="BA33" i="453"/>
  <c r="AZ33" i="453"/>
  <c r="BF33" i="453"/>
  <c r="BB33" i="453"/>
  <c r="BK33" i="453"/>
  <c r="BJ33" i="453" s="1"/>
  <c r="AN32" i="453"/>
  <c r="AM31" i="453"/>
  <c r="AN31" i="453" s="1"/>
  <c r="AT33" i="453" l="1"/>
  <c r="AX33" i="453"/>
  <c r="BC33" i="453"/>
  <c r="BE31" i="453"/>
  <c r="AZ31" i="453"/>
  <c r="BF31" i="453"/>
  <c r="BA31" i="453"/>
  <c r="BK31" i="453"/>
  <c r="BJ31" i="453" s="1"/>
  <c r="BD31" i="453"/>
  <c r="AR31" i="453"/>
  <c r="BB31" i="453"/>
  <c r="BF30" i="453"/>
  <c r="AR30" i="453"/>
  <c r="BE30" i="453"/>
  <c r="BB30" i="453"/>
  <c r="BD30" i="453"/>
  <c r="BK30" i="453"/>
  <c r="BJ30" i="453" s="1"/>
  <c r="AZ30" i="453"/>
  <c r="BA30" i="453"/>
  <c r="BB32" i="453"/>
  <c r="BD32" i="453"/>
  <c r="AZ32" i="453"/>
  <c r="BF32" i="453"/>
  <c r="AR32" i="453"/>
  <c r="BE32" i="453"/>
  <c r="BA32" i="453"/>
  <c r="BK32" i="453"/>
  <c r="BJ32" i="453" s="1"/>
  <c r="AT31" i="453" l="1"/>
  <c r="AX31" i="453"/>
  <c r="AT32" i="453"/>
  <c r="AX32" i="453"/>
  <c r="AT30" i="453"/>
  <c r="AX30" i="453"/>
  <c r="BC32" i="453"/>
  <c r="BC30" i="453"/>
  <c r="BC31" i="453"/>
  <c r="AH29" i="453"/>
  <c r="AI29" i="453" s="1"/>
  <c r="AK29" i="453" s="1"/>
  <c r="AK36" i="453" s="1"/>
  <c r="AK38" i="453" s="1"/>
  <c r="AO29" i="453" l="1"/>
  <c r="AO36" i="453" s="1"/>
  <c r="E29" i="453"/>
  <c r="E36" i="453" s="1"/>
  <c r="E38" i="453" s="1"/>
  <c r="AB36" i="453"/>
  <c r="AH36" i="453"/>
  <c r="AH38" i="453" s="1"/>
  <c r="AF36" i="453"/>
  <c r="AF38" i="453" s="1"/>
  <c r="D10" i="451" s="1"/>
  <c r="E10" i="451" s="1"/>
  <c r="AI36" i="453"/>
  <c r="AI38" i="453" s="1"/>
  <c r="AL29" i="453"/>
  <c r="AB38" i="453" l="1"/>
  <c r="D6" i="451" s="1"/>
  <c r="D10" i="450" s="1"/>
  <c r="E8" i="459"/>
  <c r="E10" i="459" s="1"/>
  <c r="AO38" i="453"/>
  <c r="B6" i="451" s="1"/>
  <c r="B9" i="451" s="1"/>
  <c r="C9" i="451" s="1"/>
  <c r="C8" i="459"/>
  <c r="C135" i="452"/>
  <c r="L135" i="457" s="1"/>
  <c r="M135" i="457" s="1"/>
  <c r="L368" i="457"/>
  <c r="M368" i="457" s="1"/>
  <c r="D12" i="451"/>
  <c r="F10" i="451"/>
  <c r="Q13" i="445"/>
  <c r="N13" i="446" s="1"/>
  <c r="AM29" i="453"/>
  <c r="AM36" i="453" s="1"/>
  <c r="AM38" i="453" s="1"/>
  <c r="AL36" i="453"/>
  <c r="Q9" i="445" l="1"/>
  <c r="N9" i="446" s="1"/>
  <c r="D9" i="451"/>
  <c r="D24" i="451" s="1"/>
  <c r="C6" i="451"/>
  <c r="C24" i="451" s="1"/>
  <c r="E6" i="451"/>
  <c r="L364" i="457"/>
  <c r="M364" i="457" s="1"/>
  <c r="D37" i="453"/>
  <c r="F6" i="451"/>
  <c r="G8" i="459"/>
  <c r="G7" i="459"/>
  <c r="D135" i="452"/>
  <c r="D137" i="452" s="1"/>
  <c r="J8" i="459"/>
  <c r="C10" i="459"/>
  <c r="H8" i="459" s="1"/>
  <c r="C137" i="452"/>
  <c r="L137" i="457" s="1"/>
  <c r="B24" i="451"/>
  <c r="R13" i="445"/>
  <c r="D13" i="447" s="1"/>
  <c r="F13" i="447" s="1"/>
  <c r="F15" i="447" s="1"/>
  <c r="Q15" i="445"/>
  <c r="R15" i="445" s="1"/>
  <c r="L370" i="457"/>
  <c r="M370" i="457" s="1"/>
  <c r="F12" i="451"/>
  <c r="L394" i="457" s="1"/>
  <c r="M394" i="457" s="1"/>
  <c r="E12" i="451"/>
  <c r="AN29" i="453"/>
  <c r="AR29" i="453" s="1"/>
  <c r="AX29" i="453" s="1"/>
  <c r="AX36" i="453" s="1"/>
  <c r="AX38" i="453" s="1"/>
  <c r="B8" i="459"/>
  <c r="AL38" i="453"/>
  <c r="B6" i="455" s="1"/>
  <c r="D13" i="451" l="1"/>
  <c r="D15" i="451" s="1"/>
  <c r="D23" i="451" s="1"/>
  <c r="D19" i="451"/>
  <c r="E9" i="451"/>
  <c r="E24" i="451" s="1"/>
  <c r="L367" i="457"/>
  <c r="M367" i="457" s="1"/>
  <c r="Q12" i="445"/>
  <c r="R12" i="445" s="1"/>
  <c r="R75" i="445" s="1"/>
  <c r="F9" i="451"/>
  <c r="J25" i="450" s="1"/>
  <c r="R9" i="445"/>
  <c r="D9" i="447" s="1"/>
  <c r="F9" i="447" s="1"/>
  <c r="H7" i="459"/>
  <c r="H10" i="459" s="1"/>
  <c r="J10" i="459"/>
  <c r="B16" i="450"/>
  <c r="E10" i="450" s="1"/>
  <c r="G10" i="459"/>
  <c r="L438" i="457"/>
  <c r="M438" i="457" s="1"/>
  <c r="M137" i="457"/>
  <c r="Q35" i="445"/>
  <c r="Q93" i="445" s="1"/>
  <c r="N93" i="446" s="1"/>
  <c r="L386" i="457"/>
  <c r="M386" i="457" s="1"/>
  <c r="N15" i="446"/>
  <c r="AZ29" i="453"/>
  <c r="AZ36" i="453" s="1"/>
  <c r="AZ38" i="453" s="1"/>
  <c r="B15" i="451" s="1"/>
  <c r="BF29" i="453"/>
  <c r="BF36" i="453" s="1"/>
  <c r="BF38" i="453" s="1"/>
  <c r="C166" i="452" s="1"/>
  <c r="L166" i="457" s="1"/>
  <c r="M166" i="457" s="1"/>
  <c r="AN36" i="453"/>
  <c r="AN38" i="453" s="1"/>
  <c r="B13" i="451" s="1"/>
  <c r="B47" i="450" s="1"/>
  <c r="B51" i="450" s="1"/>
  <c r="BA29" i="453"/>
  <c r="BA36" i="453" s="1"/>
  <c r="BA38" i="453" s="1"/>
  <c r="Q62" i="445"/>
  <c r="N62" i="446" s="1"/>
  <c r="Q72" i="445"/>
  <c r="BE29" i="453"/>
  <c r="BE36" i="453" s="1"/>
  <c r="BE38" i="453" s="1"/>
  <c r="C165" i="452" s="1"/>
  <c r="L165" i="457" s="1"/>
  <c r="M165" i="457" s="1"/>
  <c r="BK29" i="453"/>
  <c r="BJ29" i="453" s="1"/>
  <c r="BJ36" i="453" s="1"/>
  <c r="BJ38" i="453" s="1"/>
  <c r="B25" i="460" s="1"/>
  <c r="N25" i="460" s="1"/>
  <c r="BB29" i="453"/>
  <c r="BB36" i="453" s="1"/>
  <c r="BB38" i="453" s="1"/>
  <c r="B20" i="455" s="1"/>
  <c r="BD29" i="453"/>
  <c r="BD36" i="453" s="1"/>
  <c r="BD38" i="453" s="1"/>
  <c r="B22" i="455" s="1"/>
  <c r="B10" i="459"/>
  <c r="I10" i="459" s="1"/>
  <c r="I8" i="459"/>
  <c r="R62" i="445"/>
  <c r="R72" i="445"/>
  <c r="D15" i="447"/>
  <c r="E15" i="451"/>
  <c r="E23" i="451" s="1"/>
  <c r="AR36" i="453"/>
  <c r="AR38" i="453" s="1"/>
  <c r="B10" i="451" s="1"/>
  <c r="AT29" i="453"/>
  <c r="AT36" i="453" s="1"/>
  <c r="AT38" i="453" s="1"/>
  <c r="B12" i="451" s="1"/>
  <c r="E19" i="451" l="1"/>
  <c r="Q88" i="445"/>
  <c r="N88" i="446" s="1"/>
  <c r="Q17" i="445"/>
  <c r="N17" i="446" s="1"/>
  <c r="L371" i="457"/>
  <c r="M371" i="457" s="1"/>
  <c r="F13" i="451"/>
  <c r="I25" i="450" s="1"/>
  <c r="E13" i="451"/>
  <c r="E22" i="451" s="1"/>
  <c r="F15" i="451"/>
  <c r="D22" i="451"/>
  <c r="N12" i="446"/>
  <c r="Q61" i="445"/>
  <c r="N61" i="446" s="1"/>
  <c r="F19" i="451"/>
  <c r="Q75" i="445"/>
  <c r="N75" i="446" s="1"/>
  <c r="Q69" i="445"/>
  <c r="N69" i="446" s="1"/>
  <c r="L415" i="457"/>
  <c r="M415" i="457" s="1"/>
  <c r="L385" i="457"/>
  <c r="M385" i="457" s="1"/>
  <c r="C16" i="450"/>
  <c r="L391" i="457"/>
  <c r="M391" i="457" s="1"/>
  <c r="D16" i="450"/>
  <c r="C10" i="449" s="1"/>
  <c r="B10" i="449" s="1"/>
  <c r="B18" i="449" s="1"/>
  <c r="E16" i="450"/>
  <c r="C19" i="449" s="1"/>
  <c r="B19" i="449" s="1"/>
  <c r="Q100" i="445"/>
  <c r="N100" i="446" s="1"/>
  <c r="N35" i="446"/>
  <c r="L420" i="457"/>
  <c r="M420" i="457" s="1"/>
  <c r="L484" i="457"/>
  <c r="M484" i="457" s="1"/>
  <c r="L428" i="457"/>
  <c r="R35" i="445"/>
  <c r="C151" i="445" s="1"/>
  <c r="D151" i="445" s="1"/>
  <c r="E151" i="445" s="1"/>
  <c r="F151" i="445" s="1"/>
  <c r="G151" i="445" s="1"/>
  <c r="H151" i="445" s="1"/>
  <c r="I151" i="445" s="1"/>
  <c r="J151" i="445" s="1"/>
  <c r="K151" i="445" s="1"/>
  <c r="L151" i="445" s="1"/>
  <c r="M151" i="445" s="1"/>
  <c r="N151" i="445" s="1"/>
  <c r="Q110" i="445"/>
  <c r="N110" i="446" s="1"/>
  <c r="R88" i="445"/>
  <c r="R61" i="445"/>
  <c r="D12" i="447"/>
  <c r="D73" i="447" s="1"/>
  <c r="F73" i="447" s="1"/>
  <c r="G73" i="447" s="1"/>
  <c r="R69" i="445"/>
  <c r="R67" i="445" s="1"/>
  <c r="C151" i="447"/>
  <c r="E151" i="447"/>
  <c r="G9" i="447"/>
  <c r="D151" i="447"/>
  <c r="F12" i="447"/>
  <c r="F17" i="447" s="1"/>
  <c r="G17" i="447" s="1"/>
  <c r="L413" i="457"/>
  <c r="M413" i="457" s="1"/>
  <c r="L373" i="457"/>
  <c r="M373" i="457" s="1"/>
  <c r="L395" i="457"/>
  <c r="M395" i="457" s="1"/>
  <c r="B12" i="455"/>
  <c r="B22" i="451"/>
  <c r="B42" i="450" s="1"/>
  <c r="B24" i="455"/>
  <c r="C13" i="451"/>
  <c r="C22" i="451" s="1"/>
  <c r="Q70" i="445"/>
  <c r="N70" i="446" s="1"/>
  <c r="N72" i="446"/>
  <c r="BK36" i="453"/>
  <c r="BK38" i="453" s="1"/>
  <c r="B23" i="455"/>
  <c r="C164" i="452"/>
  <c r="C163" i="452"/>
  <c r="BC29" i="453"/>
  <c r="BC36" i="453" s="1"/>
  <c r="BC38" i="453" s="1"/>
  <c r="C334" i="452" s="1"/>
  <c r="C147" i="452"/>
  <c r="C10" i="451"/>
  <c r="B23" i="451"/>
  <c r="C15" i="451"/>
  <c r="C23" i="451" s="1"/>
  <c r="D70" i="447"/>
  <c r="D60" i="447"/>
  <c r="F60" i="447" s="1"/>
  <c r="G60" i="447" s="1"/>
  <c r="D165" i="452"/>
  <c r="R70" i="445"/>
  <c r="B14" i="455"/>
  <c r="C9" i="454"/>
  <c r="C336" i="452"/>
  <c r="C162" i="452"/>
  <c r="L162" i="457" s="1"/>
  <c r="M162" i="457" s="1"/>
  <c r="B19" i="455"/>
  <c r="D166" i="452"/>
  <c r="Q63" i="445" l="1"/>
  <c r="N63" i="446" s="1"/>
  <c r="Q81" i="445"/>
  <c r="Q79" i="445" s="1"/>
  <c r="N79" i="446" s="1"/>
  <c r="Q86" i="445"/>
  <c r="N86" i="446" s="1"/>
  <c r="Q87" i="445"/>
  <c r="N87" i="446" s="1"/>
  <c r="R17" i="445"/>
  <c r="R86" i="445" s="1"/>
  <c r="L387" i="457"/>
  <c r="M387" i="457" s="1"/>
  <c r="L412" i="457"/>
  <c r="M412" i="457" s="1"/>
  <c r="Q73" i="445"/>
  <c r="N73" i="446" s="1"/>
  <c r="Q67" i="445"/>
  <c r="N67" i="446" s="1"/>
  <c r="L489" i="457"/>
  <c r="M489" i="457" s="1"/>
  <c r="L401" i="457"/>
  <c r="M401" i="457" s="1"/>
  <c r="L393" i="457"/>
  <c r="M393" i="457" s="1"/>
  <c r="R110" i="445"/>
  <c r="R93" i="445"/>
  <c r="R100" i="445"/>
  <c r="D35" i="447"/>
  <c r="L486" i="457"/>
  <c r="M486" i="457" s="1"/>
  <c r="C335" i="452"/>
  <c r="C338" i="452" s="1"/>
  <c r="B24" i="460"/>
  <c r="N24" i="460" s="1"/>
  <c r="R73" i="445"/>
  <c r="D86" i="447"/>
  <c r="F86" i="447" s="1"/>
  <c r="G86" i="447" s="1"/>
  <c r="D67" i="447"/>
  <c r="F67" i="447" s="1"/>
  <c r="G67" i="447" s="1"/>
  <c r="D65" i="447"/>
  <c r="F65" i="447" s="1"/>
  <c r="D59" i="447"/>
  <c r="F59" i="447" s="1"/>
  <c r="G59" i="447" s="1"/>
  <c r="D163" i="452"/>
  <c r="L163" i="457"/>
  <c r="M163" i="457" s="1"/>
  <c r="L164" i="457"/>
  <c r="M164" i="457" s="1"/>
  <c r="C152" i="452"/>
  <c r="L152" i="457" s="1"/>
  <c r="M152" i="457" s="1"/>
  <c r="L147" i="457"/>
  <c r="M147" i="457" s="1"/>
  <c r="L414" i="457"/>
  <c r="M414" i="457" s="1"/>
  <c r="L396" i="457"/>
  <c r="L402" i="457"/>
  <c r="M402" i="457" s="1"/>
  <c r="N81" i="446"/>
  <c r="C7" i="454"/>
  <c r="B13" i="455"/>
  <c r="B16" i="455" s="1"/>
  <c r="D16" i="455" s="1"/>
  <c r="D164" i="452"/>
  <c r="C8" i="454"/>
  <c r="B23" i="460" s="1"/>
  <c r="B21" i="455"/>
  <c r="B26" i="455" s="1"/>
  <c r="C26" i="455" s="1"/>
  <c r="C37" i="455" s="1"/>
  <c r="D37" i="455" s="1"/>
  <c r="F70" i="447"/>
  <c r="G70" i="447" s="1"/>
  <c r="D68" i="447"/>
  <c r="F68" i="447" s="1"/>
  <c r="D336" i="452"/>
  <c r="L336" i="457"/>
  <c r="M336" i="457" s="1"/>
  <c r="D147" i="452"/>
  <c r="D162" i="452"/>
  <c r="C169" i="452"/>
  <c r="D334" i="452"/>
  <c r="L334" i="457"/>
  <c r="M334" i="457" s="1"/>
  <c r="R81" i="445" l="1"/>
  <c r="R79" i="445" s="1"/>
  <c r="R87" i="445"/>
  <c r="B33" i="460"/>
  <c r="L491" i="457"/>
  <c r="M491" i="457" s="1"/>
  <c r="D17" i="447"/>
  <c r="D84" i="447" s="1"/>
  <c r="F84" i="447" s="1"/>
  <c r="G84" i="447" s="1"/>
  <c r="R63" i="445"/>
  <c r="F35" i="447"/>
  <c r="G35" i="447" s="1"/>
  <c r="D108" i="447"/>
  <c r="F108" i="447" s="1"/>
  <c r="D98" i="447"/>
  <c r="F98" i="447" s="1"/>
  <c r="L406" i="457"/>
  <c r="M406" i="457" s="1"/>
  <c r="M396" i="457"/>
  <c r="D335" i="452"/>
  <c r="L335" i="457"/>
  <c r="Q37" i="445"/>
  <c r="R37" i="445" s="1"/>
  <c r="D37" i="447" s="1"/>
  <c r="F37" i="447" s="1"/>
  <c r="D152" i="452"/>
  <c r="D71" i="447"/>
  <c r="G71" i="447" s="1"/>
  <c r="C316" i="452"/>
  <c r="L316" i="457" s="1"/>
  <c r="M316" i="457" s="1"/>
  <c r="L169" i="457"/>
  <c r="M169" i="457" s="1"/>
  <c r="L545" i="457"/>
  <c r="M545" i="457" s="1"/>
  <c r="L411" i="457"/>
  <c r="M411" i="457" s="1"/>
  <c r="L410" i="457"/>
  <c r="M410" i="457" s="1"/>
  <c r="L496" i="457"/>
  <c r="M496" i="457" s="1"/>
  <c r="L470" i="457"/>
  <c r="M470" i="457" s="1"/>
  <c r="L461" i="457"/>
  <c r="M461" i="457" s="1"/>
  <c r="L403" i="457"/>
  <c r="M403" i="457" s="1"/>
  <c r="F91" i="447"/>
  <c r="D150" i="447"/>
  <c r="L397" i="457"/>
  <c r="M397" i="457" s="1"/>
  <c r="D42" i="455"/>
  <c r="D45" i="455" s="1"/>
  <c r="E45" i="455" s="1"/>
  <c r="N23" i="460"/>
  <c r="N33" i="460" s="1"/>
  <c r="C12" i="454"/>
  <c r="C23" i="454" s="1"/>
  <c r="C322" i="452" s="1"/>
  <c r="L322" i="457" s="1"/>
  <c r="M322" i="457" s="1"/>
  <c r="D338" i="452"/>
  <c r="L338" i="457"/>
  <c r="M338" i="457" s="1"/>
  <c r="L574" i="457"/>
  <c r="M574" i="457" s="1"/>
  <c r="D169" i="452"/>
  <c r="D316" i="452" s="1"/>
  <c r="B19" i="451"/>
  <c r="C12" i="451"/>
  <c r="C19" i="451" s="1"/>
  <c r="L502" i="457"/>
  <c r="M502" i="457" s="1"/>
  <c r="D85" i="447" l="1"/>
  <c r="F85" i="447" s="1"/>
  <c r="G85" i="447" s="1"/>
  <c r="D79" i="447"/>
  <c r="F79" i="447" s="1"/>
  <c r="G79" i="447" s="1"/>
  <c r="D61" i="447"/>
  <c r="F61" i="447" s="1"/>
  <c r="G61" i="447" s="1"/>
  <c r="L501" i="457"/>
  <c r="M501" i="457" s="1"/>
  <c r="M335" i="457"/>
  <c r="F212" i="452"/>
  <c r="Q40" i="445"/>
  <c r="N40" i="446" s="1"/>
  <c r="F193" i="452"/>
  <c r="F228" i="452"/>
  <c r="Q39" i="445"/>
  <c r="Q101" i="445" s="1"/>
  <c r="F307" i="452"/>
  <c r="F247" i="452"/>
  <c r="N37" i="446"/>
  <c r="F227" i="452"/>
  <c r="F224" i="452"/>
  <c r="F192" i="452"/>
  <c r="F272" i="452"/>
  <c r="F204" i="452"/>
  <c r="F205" i="452"/>
  <c r="F309" i="452"/>
  <c r="F216" i="452"/>
  <c r="F213" i="452"/>
  <c r="F201" i="452"/>
  <c r="F260" i="452"/>
  <c r="F185" i="452"/>
  <c r="F286" i="452"/>
  <c r="F178" i="452"/>
  <c r="F270" i="452"/>
  <c r="F259" i="452"/>
  <c r="F262" i="452"/>
  <c r="F203" i="452"/>
  <c r="F255" i="452"/>
  <c r="F300" i="452"/>
  <c r="F243" i="452"/>
  <c r="F306" i="452"/>
  <c r="F285" i="452"/>
  <c r="F219" i="452"/>
  <c r="F296" i="452"/>
  <c r="F304" i="452"/>
  <c r="F182" i="452"/>
  <c r="F308" i="452"/>
  <c r="F197" i="452"/>
  <c r="F240" i="452"/>
  <c r="F244" i="452"/>
  <c r="F257" i="452"/>
  <c r="F223" i="452"/>
  <c r="F282" i="452"/>
  <c r="F276" i="452"/>
  <c r="F248" i="452"/>
  <c r="F298" i="452"/>
  <c r="F241" i="452"/>
  <c r="F310" i="452"/>
  <c r="F288" i="452"/>
  <c r="F236" i="452"/>
  <c r="F198" i="452"/>
  <c r="F275" i="452"/>
  <c r="F238" i="452"/>
  <c r="F287" i="452"/>
  <c r="F245" i="452"/>
  <c r="F302" i="452"/>
  <c r="F273" i="452"/>
  <c r="F214" i="452"/>
  <c r="F263" i="452"/>
  <c r="F256" i="452"/>
  <c r="F293" i="452"/>
  <c r="F183" i="452"/>
  <c r="F200" i="452"/>
  <c r="F265" i="452"/>
  <c r="F246" i="452"/>
  <c r="F253" i="452"/>
  <c r="F295" i="452"/>
  <c r="F303" i="452"/>
  <c r="F301" i="452"/>
  <c r="F179" i="452"/>
  <c r="F218" i="452"/>
  <c r="F229" i="452"/>
  <c r="F239" i="452"/>
  <c r="F226" i="452"/>
  <c r="F199" i="452"/>
  <c r="F294" i="452"/>
  <c r="F225" i="452"/>
  <c r="F221" i="452"/>
  <c r="F194" i="452"/>
  <c r="F202" i="452"/>
  <c r="F274" i="452"/>
  <c r="F297" i="452"/>
  <c r="F252" i="452"/>
  <c r="F258" i="452"/>
  <c r="F250" i="452"/>
  <c r="F261" i="452"/>
  <c r="F305" i="452"/>
  <c r="F195" i="452"/>
  <c r="F220" i="452"/>
  <c r="F184" i="452"/>
  <c r="F206" i="452"/>
  <c r="F283" i="452"/>
  <c r="F215" i="452"/>
  <c r="F211" i="452"/>
  <c r="F316" i="452"/>
  <c r="F254" i="452"/>
  <c r="F242" i="452"/>
  <c r="F222" i="452"/>
  <c r="F249" i="452"/>
  <c r="F271" i="452"/>
  <c r="F234" i="452"/>
  <c r="F264" i="452"/>
  <c r="F299" i="452"/>
  <c r="F180" i="452"/>
  <c r="F217" i="452"/>
  <c r="F196" i="452"/>
  <c r="F251" i="452"/>
  <c r="F284" i="452"/>
  <c r="F281" i="452"/>
  <c r="F235" i="452"/>
  <c r="F181" i="452"/>
  <c r="F237" i="452"/>
  <c r="C319" i="452"/>
  <c r="D319" i="452"/>
  <c r="L441" i="457"/>
  <c r="M441" i="457" s="1"/>
  <c r="L456" i="457"/>
  <c r="M456" i="457" s="1"/>
  <c r="L549" i="457"/>
  <c r="M549" i="457" s="1"/>
  <c r="L488" i="457"/>
  <c r="M488" i="457" s="1"/>
  <c r="L497" i="457"/>
  <c r="M497" i="457" s="1"/>
  <c r="L498" i="457"/>
  <c r="M498" i="457" s="1"/>
  <c r="L511" i="457"/>
  <c r="L591" i="457" s="1"/>
  <c r="M591" i="457" s="1"/>
  <c r="L490" i="457"/>
  <c r="M490" i="457" s="1"/>
  <c r="D152" i="447"/>
  <c r="L473" i="457"/>
  <c r="M473" i="457" s="1"/>
  <c r="D145" i="447"/>
  <c r="D147" i="447" s="1"/>
  <c r="D148" i="447" s="1"/>
  <c r="G91" i="447"/>
  <c r="F22" i="450"/>
  <c r="Q43" i="445"/>
  <c r="B20" i="450"/>
  <c r="B9" i="460"/>
  <c r="D322" i="452"/>
  <c r="L503" i="457"/>
  <c r="M503" i="457" s="1"/>
  <c r="L575" i="457"/>
  <c r="M575" i="457" s="1"/>
  <c r="D77" i="447" l="1"/>
  <c r="F77" i="447" s="1"/>
  <c r="G77" i="447" s="1"/>
  <c r="L512" i="457"/>
  <c r="M512" i="457" s="1"/>
  <c r="M511" i="457"/>
  <c r="L450" i="457"/>
  <c r="M450" i="457" s="1"/>
  <c r="R40" i="445"/>
  <c r="D40" i="447" s="1"/>
  <c r="F40" i="447" s="1"/>
  <c r="L319" i="457"/>
  <c r="F172" i="452"/>
  <c r="N39" i="446"/>
  <c r="R39" i="445"/>
  <c r="R101" i="445" s="1"/>
  <c r="R102" i="445" s="1"/>
  <c r="F290" i="452"/>
  <c r="F267" i="452"/>
  <c r="F208" i="452"/>
  <c r="F231" i="452"/>
  <c r="F312" i="452"/>
  <c r="F278" i="452"/>
  <c r="F163" i="452"/>
  <c r="F186" i="452"/>
  <c r="F174" i="452"/>
  <c r="F150" i="452"/>
  <c r="F177" i="452"/>
  <c r="C140" i="452"/>
  <c r="L140" i="457" s="1"/>
  <c r="M140" i="457" s="1"/>
  <c r="F165" i="452"/>
  <c r="F164" i="452"/>
  <c r="F146" i="452"/>
  <c r="F159" i="452"/>
  <c r="F155" i="452"/>
  <c r="F149" i="452"/>
  <c r="F173" i="452"/>
  <c r="F175" i="452"/>
  <c r="F145" i="452"/>
  <c r="F156" i="452"/>
  <c r="F157" i="452"/>
  <c r="Q41" i="445"/>
  <c r="Q42" i="445" s="1"/>
  <c r="F166" i="452"/>
  <c r="F167" i="452"/>
  <c r="F176" i="452"/>
  <c r="F169" i="452"/>
  <c r="F188" i="452"/>
  <c r="F10" i="450"/>
  <c r="C21" i="456"/>
  <c r="B21" i="456" s="1"/>
  <c r="F147" i="452"/>
  <c r="B17" i="450"/>
  <c r="C17" i="450" s="1"/>
  <c r="F152" i="452"/>
  <c r="F162" i="452"/>
  <c r="F148" i="452"/>
  <c r="F144" i="452"/>
  <c r="L579" i="457"/>
  <c r="M579" i="457" s="1"/>
  <c r="L542" i="457"/>
  <c r="M542" i="457" s="1"/>
  <c r="L499" i="457"/>
  <c r="M499" i="457" s="1"/>
  <c r="L571" i="457"/>
  <c r="M571" i="457" s="1"/>
  <c r="L431" i="457"/>
  <c r="M431" i="457" s="1"/>
  <c r="L423" i="457"/>
  <c r="M423" i="457" s="1"/>
  <c r="L451" i="457"/>
  <c r="M451" i="457" s="1"/>
  <c r="F16" i="450"/>
  <c r="D155" i="447"/>
  <c r="D156" i="447"/>
  <c r="D157" i="447" s="1"/>
  <c r="D153" i="447"/>
  <c r="L475" i="457"/>
  <c r="Q102" i="445"/>
  <c r="N101" i="446"/>
  <c r="B12" i="460"/>
  <c r="B35" i="460" s="1"/>
  <c r="B40" i="460" s="1"/>
  <c r="C9" i="460"/>
  <c r="E20" i="450"/>
  <c r="D20" i="450"/>
  <c r="C13" i="449" s="1"/>
  <c r="C20" i="450"/>
  <c r="I20" i="450"/>
  <c r="B36" i="450" s="1"/>
  <c r="C36" i="450" s="1"/>
  <c r="J20" i="450"/>
  <c r="B37" i="450" s="1"/>
  <c r="C37" i="450" s="1"/>
  <c r="Q121" i="445"/>
  <c r="N121" i="446" s="1"/>
  <c r="Q96" i="445"/>
  <c r="N96" i="446" s="1"/>
  <c r="R43" i="445"/>
  <c r="Q120" i="445"/>
  <c r="N120" i="446" s="1"/>
  <c r="N43" i="446"/>
  <c r="Q113" i="445"/>
  <c r="N113" i="446" s="1"/>
  <c r="L530" i="457"/>
  <c r="M530" i="457" s="1"/>
  <c r="L540" i="457"/>
  <c r="M540" i="457" s="1"/>
  <c r="L513" i="457" l="1"/>
  <c r="M513" i="457" s="1"/>
  <c r="L477" i="457"/>
  <c r="M477" i="457" s="1"/>
  <c r="M475" i="457"/>
  <c r="L567" i="457"/>
  <c r="M567" i="457" s="1"/>
  <c r="M319" i="457"/>
  <c r="C25" i="449"/>
  <c r="B25" i="449" s="1"/>
  <c r="L439" i="457"/>
  <c r="M439" i="457" s="1"/>
  <c r="L566" i="457"/>
  <c r="M566" i="457" s="1"/>
  <c r="L544" i="457"/>
  <c r="M544" i="457" s="1"/>
  <c r="C146" i="445"/>
  <c r="D146" i="445" s="1"/>
  <c r="E146" i="445" s="1"/>
  <c r="F146" i="445" s="1"/>
  <c r="G146" i="445" s="1"/>
  <c r="H146" i="445" s="1"/>
  <c r="I146" i="445" s="1"/>
  <c r="J146" i="445" s="1"/>
  <c r="K146" i="445" s="1"/>
  <c r="L146" i="445" s="1"/>
  <c r="M146" i="445" s="1"/>
  <c r="N146" i="445" s="1"/>
  <c r="D39" i="447"/>
  <c r="D99" i="447" s="1"/>
  <c r="C149" i="445"/>
  <c r="D149" i="445" s="1"/>
  <c r="E149" i="445" s="1"/>
  <c r="F149" i="445" s="1"/>
  <c r="G149" i="445" s="1"/>
  <c r="H149" i="445" s="1"/>
  <c r="I149" i="445" s="1"/>
  <c r="J149" i="445" s="1"/>
  <c r="K149" i="445" s="1"/>
  <c r="L149" i="445" s="1"/>
  <c r="M149" i="445" s="1"/>
  <c r="N149" i="445" s="1"/>
  <c r="Q111" i="445"/>
  <c r="N111" i="446" s="1"/>
  <c r="Q94" i="445"/>
  <c r="N94" i="446" s="1"/>
  <c r="R41" i="445"/>
  <c r="R111" i="445" s="1"/>
  <c r="N41" i="446"/>
  <c r="D140" i="452"/>
  <c r="C131" i="452"/>
  <c r="Q34" i="445"/>
  <c r="R34" i="445" s="1"/>
  <c r="D34" i="447" s="1"/>
  <c r="E17" i="450"/>
  <c r="E18" i="450" s="1"/>
  <c r="C21" i="449" s="1"/>
  <c r="K8" i="459"/>
  <c r="K7" i="459"/>
  <c r="K10" i="459"/>
  <c r="D17" i="450"/>
  <c r="C11" i="449" s="1"/>
  <c r="B11" i="449" s="1"/>
  <c r="B18" i="450"/>
  <c r="C18" i="450" s="1"/>
  <c r="L516" i="457"/>
  <c r="M516" i="457" s="1"/>
  <c r="L576" i="457"/>
  <c r="M576" i="457" s="1"/>
  <c r="L515" i="457"/>
  <c r="M515" i="457" s="1"/>
  <c r="L519" i="457"/>
  <c r="M519" i="457" s="1"/>
  <c r="L517" i="457"/>
  <c r="M517" i="457" s="1"/>
  <c r="Q131" i="445"/>
  <c r="N131" i="446" s="1"/>
  <c r="Q105" i="445"/>
  <c r="N105" i="446" s="1"/>
  <c r="N102" i="446"/>
  <c r="Q85" i="445"/>
  <c r="R131" i="445"/>
  <c r="R105" i="445"/>
  <c r="R85" i="445"/>
  <c r="R126" i="445" s="1"/>
  <c r="F20" i="450"/>
  <c r="C22" i="449"/>
  <c r="C140" i="445"/>
  <c r="D140" i="445" s="1"/>
  <c r="E140" i="445" s="1"/>
  <c r="F140" i="445" s="1"/>
  <c r="G140" i="445" s="1"/>
  <c r="H140" i="445" s="1"/>
  <c r="I140" i="445" s="1"/>
  <c r="J140" i="445" s="1"/>
  <c r="K140" i="445" s="1"/>
  <c r="L140" i="445" s="1"/>
  <c r="M140" i="445" s="1"/>
  <c r="N140" i="445" s="1"/>
  <c r="R121" i="445"/>
  <c r="R113" i="445"/>
  <c r="R96" i="445"/>
  <c r="R120" i="445"/>
  <c r="D43" i="447"/>
  <c r="C12" i="460"/>
  <c r="C35" i="460" s="1"/>
  <c r="C40" i="460" s="1"/>
  <c r="D9" i="460"/>
  <c r="Q112" i="445"/>
  <c r="N112" i="446" s="1"/>
  <c r="N42" i="446"/>
  <c r="Q95" i="445"/>
  <c r="N95" i="446" s="1"/>
  <c r="R42" i="445"/>
  <c r="F39" i="447" l="1"/>
  <c r="G39" i="447" s="1"/>
  <c r="B12" i="449"/>
  <c r="B13" i="449" s="1"/>
  <c r="B29" i="449" s="1"/>
  <c r="B20" i="449"/>
  <c r="L546" i="457"/>
  <c r="M546" i="457" s="1"/>
  <c r="F17" i="450"/>
  <c r="F18" i="450" s="1"/>
  <c r="L421" i="457"/>
  <c r="M421" i="457" s="1"/>
  <c r="L429" i="457"/>
  <c r="C20" i="449"/>
  <c r="L440" i="457"/>
  <c r="M440" i="457" s="1"/>
  <c r="D37" i="460"/>
  <c r="C47" i="445"/>
  <c r="L131" i="457"/>
  <c r="H173" i="452"/>
  <c r="H300" i="452"/>
  <c r="H144" i="452"/>
  <c r="N34" i="446"/>
  <c r="H213" i="452"/>
  <c r="H177" i="452"/>
  <c r="H265" i="452"/>
  <c r="H235" i="452"/>
  <c r="H336" i="452"/>
  <c r="H164" i="452"/>
  <c r="H272" i="452"/>
  <c r="H330" i="452"/>
  <c r="C97" i="452"/>
  <c r="L97" i="457" s="1"/>
  <c r="M97" i="457" s="1"/>
  <c r="H184" i="452"/>
  <c r="H248" i="452"/>
  <c r="H342" i="452"/>
  <c r="H322" i="452"/>
  <c r="C29" i="449" s="1"/>
  <c r="H194" i="452"/>
  <c r="H203" i="452"/>
  <c r="H310" i="452"/>
  <c r="H287" i="452"/>
  <c r="H257" i="452"/>
  <c r="H135" i="452"/>
  <c r="H297" i="452"/>
  <c r="H306" i="452"/>
  <c r="H264" i="452"/>
  <c r="H299" i="452"/>
  <c r="H274" i="452"/>
  <c r="H176" i="452"/>
  <c r="H305" i="452"/>
  <c r="Q36" i="445"/>
  <c r="Q92" i="445" s="1"/>
  <c r="N92" i="446" s="1"/>
  <c r="H172" i="452"/>
  <c r="H206" i="452"/>
  <c r="H193" i="452"/>
  <c r="H220" i="452"/>
  <c r="C132" i="452"/>
  <c r="H146" i="452"/>
  <c r="H263" i="452"/>
  <c r="H243" i="452"/>
  <c r="H319" i="452"/>
  <c r="H242" i="452"/>
  <c r="H150" i="452"/>
  <c r="H245" i="452"/>
  <c r="H238" i="452"/>
  <c r="H134" i="452"/>
  <c r="H219" i="452"/>
  <c r="H174" i="452"/>
  <c r="B15" i="450"/>
  <c r="B46" i="450" s="1"/>
  <c r="B45" i="450" s="1"/>
  <c r="H225" i="452"/>
  <c r="H211" i="452"/>
  <c r="H182" i="452"/>
  <c r="H304" i="452"/>
  <c r="H327" i="452"/>
  <c r="D18" i="450"/>
  <c r="C12" i="449" s="1"/>
  <c r="H140" i="452"/>
  <c r="H338" i="452"/>
  <c r="C23" i="452"/>
  <c r="L23" i="457" s="1"/>
  <c r="M23" i="457" s="1"/>
  <c r="H159" i="452"/>
  <c r="D131" i="452"/>
  <c r="H185" i="452"/>
  <c r="H270" i="452"/>
  <c r="H262" i="452"/>
  <c r="H346" i="452"/>
  <c r="H175" i="452"/>
  <c r="H241" i="452"/>
  <c r="H215" i="452"/>
  <c r="H276" i="452"/>
  <c r="H344" i="452"/>
  <c r="H284" i="452"/>
  <c r="H166" i="452"/>
  <c r="H137" i="452"/>
  <c r="H214" i="452"/>
  <c r="H283" i="452"/>
  <c r="H237" i="452"/>
  <c r="H197" i="452"/>
  <c r="H181" i="452"/>
  <c r="H348" i="452"/>
  <c r="H236" i="452"/>
  <c r="H152" i="452"/>
  <c r="H282" i="452"/>
  <c r="H309" i="452"/>
  <c r="H259" i="452"/>
  <c r="H179" i="452"/>
  <c r="H261" i="452"/>
  <c r="H239" i="452"/>
  <c r="H255" i="452"/>
  <c r="H198" i="452"/>
  <c r="H250" i="452"/>
  <c r="E40" i="453"/>
  <c r="E41" i="453" s="1"/>
  <c r="H169" i="452"/>
  <c r="H258" i="452"/>
  <c r="H195" i="452"/>
  <c r="H228" i="452"/>
  <c r="H244" i="452"/>
  <c r="H254" i="452"/>
  <c r="H205" i="452"/>
  <c r="H145" i="452"/>
  <c r="H162" i="452"/>
  <c r="H163" i="452"/>
  <c r="H183" i="452"/>
  <c r="C125" i="452"/>
  <c r="L125" i="457" s="1"/>
  <c r="M125" i="457" s="1"/>
  <c r="H178" i="452"/>
  <c r="H251" i="452"/>
  <c r="H196" i="452"/>
  <c r="H286" i="452"/>
  <c r="H340" i="452"/>
  <c r="H199" i="452"/>
  <c r="H200" i="452"/>
  <c r="H26" i="452"/>
  <c r="H260" i="452"/>
  <c r="H216" i="452"/>
  <c r="H201" i="452"/>
  <c r="H188" i="452"/>
  <c r="H288" i="452"/>
  <c r="H212" i="452"/>
  <c r="H217" i="452"/>
  <c r="H192" i="452"/>
  <c r="H147" i="452"/>
  <c r="H335" i="452"/>
  <c r="H148" i="452"/>
  <c r="H253" i="452"/>
  <c r="H227" i="452"/>
  <c r="H308" i="452"/>
  <c r="H316" i="452"/>
  <c r="H156" i="452"/>
  <c r="H296" i="452"/>
  <c r="H246" i="452"/>
  <c r="H157" i="452"/>
  <c r="H223" i="452"/>
  <c r="H294" i="452"/>
  <c r="H249" i="452"/>
  <c r="H218" i="452"/>
  <c r="H301" i="452"/>
  <c r="H247" i="452"/>
  <c r="H295" i="452"/>
  <c r="H204" i="452"/>
  <c r="H180" i="452"/>
  <c r="H325" i="452"/>
  <c r="H165" i="452"/>
  <c r="H149" i="452"/>
  <c r="H273" i="452"/>
  <c r="H167" i="452"/>
  <c r="H275" i="452"/>
  <c r="H222" i="452"/>
  <c r="H281" i="452"/>
  <c r="H334" i="452"/>
  <c r="H256" i="452"/>
  <c r="H285" i="452"/>
  <c r="H302" i="452"/>
  <c r="H307" i="452"/>
  <c r="H303" i="452"/>
  <c r="H221" i="452"/>
  <c r="H226" i="452"/>
  <c r="H328" i="452"/>
  <c r="H293" i="452"/>
  <c r="H202" i="452"/>
  <c r="H252" i="452"/>
  <c r="H186" i="452"/>
  <c r="H326" i="452"/>
  <c r="H224" i="452"/>
  <c r="H298" i="452"/>
  <c r="H271" i="452"/>
  <c r="H155" i="452"/>
  <c r="H229" i="452"/>
  <c r="R94" i="445"/>
  <c r="D41" i="447"/>
  <c r="D92" i="447" s="1"/>
  <c r="C144" i="445"/>
  <c r="D144" i="445" s="1"/>
  <c r="E144" i="445" s="1"/>
  <c r="F144" i="445" s="1"/>
  <c r="G144" i="445" s="1"/>
  <c r="H144" i="445" s="1"/>
  <c r="I144" i="445" s="1"/>
  <c r="J144" i="445" s="1"/>
  <c r="K144" i="445" s="1"/>
  <c r="L144" i="445" s="1"/>
  <c r="M144" i="445" s="1"/>
  <c r="N144" i="445" s="1"/>
  <c r="H240" i="452"/>
  <c r="H131" i="452"/>
  <c r="H234" i="452"/>
  <c r="L430" i="457"/>
  <c r="M430" i="457" s="1"/>
  <c r="N85" i="446"/>
  <c r="Q126" i="445"/>
  <c r="N126" i="446" s="1"/>
  <c r="F99" i="447"/>
  <c r="D100" i="447"/>
  <c r="D119" i="447"/>
  <c r="F119" i="447" s="1"/>
  <c r="G119" i="447" s="1"/>
  <c r="D94" i="447"/>
  <c r="F94" i="447" s="1"/>
  <c r="G94" i="447" s="1"/>
  <c r="F43" i="447"/>
  <c r="G43" i="447" s="1"/>
  <c r="D111" i="447"/>
  <c r="F111" i="447" s="1"/>
  <c r="G111" i="447" s="1"/>
  <c r="D118" i="447"/>
  <c r="F118" i="447" s="1"/>
  <c r="G118" i="447" s="1"/>
  <c r="E9" i="460"/>
  <c r="D12" i="460"/>
  <c r="D35" i="460" s="1"/>
  <c r="D40" i="460" s="1"/>
  <c r="R95" i="445"/>
  <c r="R112" i="445"/>
  <c r="D42" i="447"/>
  <c r="F34" i="447"/>
  <c r="B21" i="449" l="1"/>
  <c r="B22" i="449" s="1"/>
  <c r="L422" i="457"/>
  <c r="M422" i="457" s="1"/>
  <c r="L550" i="457"/>
  <c r="M550" i="457" s="1"/>
  <c r="M429" i="457"/>
  <c r="L460" i="457"/>
  <c r="M460" i="457" s="1"/>
  <c r="M131" i="457"/>
  <c r="D97" i="452"/>
  <c r="L548" i="457"/>
  <c r="M548" i="457" s="1"/>
  <c r="L471" i="457"/>
  <c r="M471" i="457" s="1"/>
  <c r="L565" i="457"/>
  <c r="M565" i="457" s="1"/>
  <c r="L437" i="457"/>
  <c r="L495" i="457"/>
  <c r="E37" i="460"/>
  <c r="D47" i="445"/>
  <c r="C94" i="452"/>
  <c r="L94" i="457" s="1"/>
  <c r="M94" i="457" s="1"/>
  <c r="C89" i="452"/>
  <c r="L89" i="457" s="1"/>
  <c r="M89" i="457" s="1"/>
  <c r="C85" i="452"/>
  <c r="L85" i="457" s="1"/>
  <c r="M85" i="457" s="1"/>
  <c r="C101" i="452"/>
  <c r="L101" i="457" s="1"/>
  <c r="M101" i="457" s="1"/>
  <c r="C93" i="452"/>
  <c r="L93" i="457" s="1"/>
  <c r="M93" i="457" s="1"/>
  <c r="C87" i="452"/>
  <c r="L87" i="457" s="1"/>
  <c r="M87" i="457" s="1"/>
  <c r="C92" i="452"/>
  <c r="L92" i="457" s="1"/>
  <c r="M92" i="457" s="1"/>
  <c r="C88" i="452"/>
  <c r="L88" i="457" s="1"/>
  <c r="M88" i="457" s="1"/>
  <c r="C83" i="452"/>
  <c r="L83" i="457" s="1"/>
  <c r="M83" i="457" s="1"/>
  <c r="C123" i="452"/>
  <c r="L123" i="457" s="1"/>
  <c r="M123" i="457" s="1"/>
  <c r="C95" i="452"/>
  <c r="L95" i="457" s="1"/>
  <c r="M95" i="457" s="1"/>
  <c r="C91" i="452"/>
  <c r="L91" i="457" s="1"/>
  <c r="M91" i="457" s="1"/>
  <c r="C84" i="452"/>
  <c r="L84" i="457" s="1"/>
  <c r="M84" i="457" s="1"/>
  <c r="C100" i="452"/>
  <c r="L100" i="457" s="1"/>
  <c r="M100" i="457" s="1"/>
  <c r="C90" i="452"/>
  <c r="L90" i="457" s="1"/>
  <c r="M90" i="457" s="1"/>
  <c r="C86" i="452"/>
  <c r="L86" i="457" s="1"/>
  <c r="M86" i="457" s="1"/>
  <c r="D125" i="452"/>
  <c r="C15" i="450"/>
  <c r="G15" i="450"/>
  <c r="D109" i="447"/>
  <c r="F109" i="447" s="1"/>
  <c r="G109" i="447" s="1"/>
  <c r="B9" i="450"/>
  <c r="G9" i="450" s="1"/>
  <c r="G17" i="450"/>
  <c r="D23" i="452"/>
  <c r="G20" i="450"/>
  <c r="G10" i="450"/>
  <c r="Q109" i="445"/>
  <c r="Q125" i="445" s="1"/>
  <c r="J15" i="450"/>
  <c r="B31" i="450" s="1"/>
  <c r="C31" i="450" s="1"/>
  <c r="G16" i="450"/>
  <c r="D39" i="453"/>
  <c r="D42" i="453" s="1"/>
  <c r="B52" i="450"/>
  <c r="B50" i="450" s="1"/>
  <c r="C20" i="452"/>
  <c r="L20" i="457" s="1"/>
  <c r="M20" i="457" s="1"/>
  <c r="D15" i="450"/>
  <c r="C9" i="449" s="1"/>
  <c r="H231" i="452"/>
  <c r="E15" i="450"/>
  <c r="L7" i="459" s="1"/>
  <c r="I15" i="450"/>
  <c r="B30" i="450" s="1"/>
  <c r="C30" i="450" s="1"/>
  <c r="C21" i="452"/>
  <c r="L21" i="457" s="1"/>
  <c r="M21" i="457" s="1"/>
  <c r="H290" i="452"/>
  <c r="Q130" i="445"/>
  <c r="N130" i="446" s="1"/>
  <c r="N36" i="446"/>
  <c r="H312" i="452"/>
  <c r="R36" i="445"/>
  <c r="R116" i="445" s="1"/>
  <c r="C105" i="452"/>
  <c r="L105" i="457" s="1"/>
  <c r="M105" i="457" s="1"/>
  <c r="Q116" i="445"/>
  <c r="N116" i="446" s="1"/>
  <c r="C104" i="452"/>
  <c r="L104" i="457" s="1"/>
  <c r="M104" i="457" s="1"/>
  <c r="H208" i="452"/>
  <c r="C103" i="452"/>
  <c r="L103" i="457" s="1"/>
  <c r="M103" i="457" s="1"/>
  <c r="Q117" i="445"/>
  <c r="N117" i="446" s="1"/>
  <c r="H278" i="452"/>
  <c r="Q106" i="445"/>
  <c r="N106" i="446" s="1"/>
  <c r="C119" i="452"/>
  <c r="L119" i="457" s="1"/>
  <c r="M119" i="457" s="1"/>
  <c r="Q44" i="445"/>
  <c r="N44" i="446" s="1"/>
  <c r="C109" i="452"/>
  <c r="L109" i="457" s="1"/>
  <c r="M109" i="457" s="1"/>
  <c r="F41" i="447"/>
  <c r="G41" i="447" s="1"/>
  <c r="C121" i="452"/>
  <c r="L121" i="457" s="1"/>
  <c r="M121" i="457" s="1"/>
  <c r="C107" i="452"/>
  <c r="L107" i="457" s="1"/>
  <c r="M107" i="457" s="1"/>
  <c r="H267" i="452"/>
  <c r="C128" i="452"/>
  <c r="L128" i="457" s="1"/>
  <c r="M128" i="457" s="1"/>
  <c r="C106" i="452"/>
  <c r="L106" i="457" s="1"/>
  <c r="M106" i="457" s="1"/>
  <c r="C110" i="452"/>
  <c r="L110" i="457" s="1"/>
  <c r="M110" i="457" s="1"/>
  <c r="C115" i="452"/>
  <c r="L115" i="457" s="1"/>
  <c r="M115" i="457" s="1"/>
  <c r="C118" i="452"/>
  <c r="L118" i="457" s="1"/>
  <c r="M118" i="457" s="1"/>
  <c r="C116" i="452"/>
  <c r="L116" i="457" s="1"/>
  <c r="M116" i="457" s="1"/>
  <c r="C122" i="452"/>
  <c r="L122" i="457" s="1"/>
  <c r="M122" i="457" s="1"/>
  <c r="C108" i="452"/>
  <c r="L108" i="457" s="1"/>
  <c r="M108" i="457" s="1"/>
  <c r="C120" i="452"/>
  <c r="L120" i="457" s="1"/>
  <c r="M120" i="457" s="1"/>
  <c r="C117" i="452"/>
  <c r="L117" i="457" s="1"/>
  <c r="M117" i="457" s="1"/>
  <c r="C102" i="452"/>
  <c r="L102" i="457" s="1"/>
  <c r="M102" i="457" s="1"/>
  <c r="L568" i="457"/>
  <c r="M568" i="457" s="1"/>
  <c r="D129" i="447"/>
  <c r="F129" i="447" s="1"/>
  <c r="D83" i="447"/>
  <c r="F83" i="447" s="1"/>
  <c r="D103" i="447"/>
  <c r="F103" i="447" s="1"/>
  <c r="F100" i="447"/>
  <c r="G100" i="447" s="1"/>
  <c r="F9" i="460"/>
  <c r="E12" i="460"/>
  <c r="E35" i="460" s="1"/>
  <c r="F42" i="447"/>
  <c r="G42" i="447" s="1"/>
  <c r="D110" i="447"/>
  <c r="F110" i="447" s="1"/>
  <c r="G110" i="447" s="1"/>
  <c r="D93" i="447"/>
  <c r="F93" i="447" s="1"/>
  <c r="G93" i="447" s="1"/>
  <c r="F92" i="447"/>
  <c r="E150" i="447"/>
  <c r="E40" i="460" l="1"/>
  <c r="F37" i="460" s="1"/>
  <c r="H85" i="452"/>
  <c r="L459" i="457"/>
  <c r="M459" i="457" s="1"/>
  <c r="D85" i="452"/>
  <c r="L469" i="457"/>
  <c r="M469" i="457" s="1"/>
  <c r="L562" i="457"/>
  <c r="M562" i="457" s="1"/>
  <c r="M495" i="457"/>
  <c r="L445" i="457"/>
  <c r="M445" i="457" s="1"/>
  <c r="M437" i="457"/>
  <c r="L446" i="457"/>
  <c r="M446" i="457" s="1"/>
  <c r="L485" i="457"/>
  <c r="M485" i="457" s="1"/>
  <c r="L419" i="457"/>
  <c r="M419" i="457" s="1"/>
  <c r="L492" i="457"/>
  <c r="M492" i="457" s="1"/>
  <c r="L427" i="457"/>
  <c r="L521" i="457"/>
  <c r="M521" i="457" s="1"/>
  <c r="L538" i="457"/>
  <c r="M538" i="457" s="1"/>
  <c r="L523" i="457"/>
  <c r="M523" i="457" s="1"/>
  <c r="L547" i="457"/>
  <c r="M547" i="457" s="1"/>
  <c r="L500" i="457"/>
  <c r="L558" i="457" s="1"/>
  <c r="M558" i="457" s="1"/>
  <c r="D86" i="452"/>
  <c r="L577" i="457"/>
  <c r="M577" i="457" s="1"/>
  <c r="H94" i="452"/>
  <c r="L561" i="457"/>
  <c r="M561" i="457" s="1"/>
  <c r="D94" i="452"/>
  <c r="L527" i="457"/>
  <c r="M527" i="457" s="1"/>
  <c r="L522" i="457"/>
  <c r="M522" i="457" s="1"/>
  <c r="L524" i="457"/>
  <c r="M524" i="457" s="1"/>
  <c r="H101" i="452"/>
  <c r="D89" i="452"/>
  <c r="H89" i="452"/>
  <c r="D101" i="452"/>
  <c r="E47" i="445"/>
  <c r="D93" i="452"/>
  <c r="D87" i="452"/>
  <c r="H87" i="452"/>
  <c r="H93" i="452"/>
  <c r="H86" i="452"/>
  <c r="D91" i="452"/>
  <c r="H92" i="452"/>
  <c r="R109" i="445"/>
  <c r="R125" i="445" s="1"/>
  <c r="R124" i="445" s="1"/>
  <c r="C78" i="452"/>
  <c r="L78" i="457" s="1"/>
  <c r="M78" i="457" s="1"/>
  <c r="D92" i="452"/>
  <c r="H88" i="452"/>
  <c r="D88" i="452"/>
  <c r="H108" i="452"/>
  <c r="H91" i="452"/>
  <c r="D123" i="452"/>
  <c r="H95" i="452"/>
  <c r="D95" i="452"/>
  <c r="D83" i="452"/>
  <c r="D84" i="452"/>
  <c r="H84" i="452"/>
  <c r="H83" i="452"/>
  <c r="H123" i="452"/>
  <c r="G18" i="450"/>
  <c r="H121" i="452"/>
  <c r="H100" i="452"/>
  <c r="H90" i="452"/>
  <c r="D100" i="452"/>
  <c r="D90" i="452"/>
  <c r="D121" i="452"/>
  <c r="D20" i="452"/>
  <c r="H122" i="452"/>
  <c r="D116" i="452"/>
  <c r="H116" i="452"/>
  <c r="C9" i="450"/>
  <c r="H107" i="452"/>
  <c r="D103" i="452"/>
  <c r="Q129" i="445"/>
  <c r="N129" i="446" s="1"/>
  <c r="D108" i="452"/>
  <c r="H103" i="452"/>
  <c r="D9" i="450"/>
  <c r="D122" i="452"/>
  <c r="N109" i="446"/>
  <c r="C45" i="452"/>
  <c r="L45" i="457" s="1"/>
  <c r="M45" i="457" s="1"/>
  <c r="D107" i="452"/>
  <c r="F41" i="453"/>
  <c r="E9" i="450"/>
  <c r="F9" i="450" s="1"/>
  <c r="R130" i="445"/>
  <c r="R129" i="445" s="1"/>
  <c r="C138" i="445"/>
  <c r="D138" i="445" s="1"/>
  <c r="E138" i="445" s="1"/>
  <c r="F138" i="445" s="1"/>
  <c r="G138" i="445" s="1"/>
  <c r="H138" i="445" s="1"/>
  <c r="I138" i="445" s="1"/>
  <c r="J138" i="445" s="1"/>
  <c r="K138" i="445" s="1"/>
  <c r="L138" i="445" s="1"/>
  <c r="M138" i="445" s="1"/>
  <c r="N138" i="445" s="1"/>
  <c r="H20" i="452"/>
  <c r="K6" i="453"/>
  <c r="K25" i="453" s="1"/>
  <c r="D36" i="447"/>
  <c r="L42" i="447" s="1"/>
  <c r="H119" i="452"/>
  <c r="H120" i="452"/>
  <c r="R92" i="445"/>
  <c r="Q104" i="445"/>
  <c r="N104" i="446" s="1"/>
  <c r="D119" i="452"/>
  <c r="R117" i="445"/>
  <c r="F15" i="450"/>
  <c r="C24" i="449" s="1"/>
  <c r="C26" i="449" s="1"/>
  <c r="R106" i="445"/>
  <c r="R104" i="445" s="1"/>
  <c r="C18" i="449"/>
  <c r="B26" i="449" s="1"/>
  <c r="B24" i="449" s="1"/>
  <c r="R44" i="445"/>
  <c r="C20" i="456"/>
  <c r="C22" i="456" s="1"/>
  <c r="B22" i="456" s="1"/>
  <c r="B20" i="456" s="1"/>
  <c r="C74" i="452"/>
  <c r="L74" i="457" s="1"/>
  <c r="M74" i="457" s="1"/>
  <c r="H115" i="452"/>
  <c r="L10" i="459"/>
  <c r="H21" i="452"/>
  <c r="B41" i="450"/>
  <c r="B40" i="450" s="1"/>
  <c r="L8" i="459"/>
  <c r="D21" i="452"/>
  <c r="D118" i="452"/>
  <c r="D106" i="452"/>
  <c r="H104" i="452"/>
  <c r="H105" i="452"/>
  <c r="D109" i="452"/>
  <c r="D104" i="452"/>
  <c r="D105" i="452"/>
  <c r="H118" i="452"/>
  <c r="H109" i="452"/>
  <c r="D115" i="452"/>
  <c r="B14" i="450"/>
  <c r="E14" i="450" s="1"/>
  <c r="F14" i="450" s="1"/>
  <c r="H106" i="452"/>
  <c r="H128" i="452"/>
  <c r="D120" i="452"/>
  <c r="H117" i="452"/>
  <c r="D110" i="452"/>
  <c r="D128" i="452"/>
  <c r="D102" i="452"/>
  <c r="C112" i="452"/>
  <c r="L112" i="457" s="1"/>
  <c r="M112" i="457" s="1"/>
  <c r="D117" i="452"/>
  <c r="H110" i="452"/>
  <c r="Q33" i="445"/>
  <c r="N33" i="446" s="1"/>
  <c r="H102" i="452"/>
  <c r="L569" i="457"/>
  <c r="M569" i="457" s="1"/>
  <c r="L458" i="457"/>
  <c r="D124" i="447"/>
  <c r="F12" i="460"/>
  <c r="F35" i="460" s="1"/>
  <c r="G9" i="460"/>
  <c r="E152" i="447"/>
  <c r="N125" i="446"/>
  <c r="Q124" i="445"/>
  <c r="N124" i="446" s="1"/>
  <c r="E145" i="447"/>
  <c r="E147" i="447" s="1"/>
  <c r="E148" i="447" s="1"/>
  <c r="G92" i="447"/>
  <c r="F40" i="460" l="1"/>
  <c r="G37" i="460" s="1"/>
  <c r="L504" i="457"/>
  <c r="M504" i="457" s="1"/>
  <c r="M500" i="457"/>
  <c r="L457" i="457"/>
  <c r="M457" i="457" s="1"/>
  <c r="M458" i="457"/>
  <c r="L487" i="457"/>
  <c r="M487" i="457" s="1"/>
  <c r="L570" i="457"/>
  <c r="M570" i="457" s="1"/>
  <c r="M427" i="457"/>
  <c r="L455" i="457"/>
  <c r="M455" i="457" s="1"/>
  <c r="L525" i="457"/>
  <c r="M525" i="457" s="1"/>
  <c r="L564" i="457"/>
  <c r="M564" i="457" s="1"/>
  <c r="H78" i="452"/>
  <c r="L563" i="457"/>
  <c r="M563" i="457" s="1"/>
  <c r="L531" i="457"/>
  <c r="M531" i="457" s="1"/>
  <c r="L539" i="457"/>
  <c r="M539" i="457" s="1"/>
  <c r="D78" i="452"/>
  <c r="K14" i="453"/>
  <c r="B13" i="450"/>
  <c r="D13" i="450" s="1"/>
  <c r="L43" i="447"/>
  <c r="K18" i="453"/>
  <c r="C52" i="452"/>
  <c r="L52" i="457" s="1"/>
  <c r="M52" i="457" s="1"/>
  <c r="D14" i="450"/>
  <c r="R33" i="445"/>
  <c r="D33" i="447" s="1"/>
  <c r="F33" i="447" s="1"/>
  <c r="C36" i="452"/>
  <c r="L36" i="457" s="1"/>
  <c r="M36" i="457" s="1"/>
  <c r="K16" i="453"/>
  <c r="C40" i="452"/>
  <c r="L40" i="457" s="1"/>
  <c r="M40" i="457" s="1"/>
  <c r="K19" i="453"/>
  <c r="D90" i="447"/>
  <c r="F90" i="447" s="1"/>
  <c r="L38" i="447"/>
  <c r="K27" i="453"/>
  <c r="D104" i="447"/>
  <c r="F104" i="447" s="1"/>
  <c r="L35" i="447"/>
  <c r="C39" i="452"/>
  <c r="L39" i="457" s="1"/>
  <c r="M39" i="457" s="1"/>
  <c r="K12" i="453"/>
  <c r="K20" i="453"/>
  <c r="K26" i="453"/>
  <c r="K30" i="453"/>
  <c r="K32" i="453"/>
  <c r="L39" i="447"/>
  <c r="K15" i="453"/>
  <c r="K9" i="453"/>
  <c r="K35" i="453" s="1"/>
  <c r="K11" i="453"/>
  <c r="K33" i="453"/>
  <c r="C42" i="452"/>
  <c r="L42" i="457" s="1"/>
  <c r="M42" i="457" s="1"/>
  <c r="K28" i="453"/>
  <c r="D128" i="447"/>
  <c r="F128" i="447" s="1"/>
  <c r="C35" i="452"/>
  <c r="L35" i="457" s="1"/>
  <c r="M35" i="457" s="1"/>
  <c r="K24" i="453"/>
  <c r="C37" i="452"/>
  <c r="L37" i="457" s="1"/>
  <c r="M37" i="457" s="1"/>
  <c r="C14" i="450"/>
  <c r="L37" i="447"/>
  <c r="C38" i="452"/>
  <c r="L38" i="457" s="1"/>
  <c r="M38" i="457" s="1"/>
  <c r="C65" i="452"/>
  <c r="L65" i="457" s="1"/>
  <c r="M65" i="457" s="1"/>
  <c r="G14" i="450"/>
  <c r="F36" i="447"/>
  <c r="G36" i="447" s="1"/>
  <c r="L36" i="447"/>
  <c r="C32" i="452"/>
  <c r="L32" i="457" s="1"/>
  <c r="M32" i="457" s="1"/>
  <c r="M444" i="457" s="1"/>
  <c r="C43" i="452"/>
  <c r="L43" i="457" s="1"/>
  <c r="M43" i="457" s="1"/>
  <c r="K31" i="453"/>
  <c r="K17" i="453"/>
  <c r="C51" i="452"/>
  <c r="L51" i="457" s="1"/>
  <c r="M51" i="457" s="1"/>
  <c r="C50" i="452"/>
  <c r="L50" i="457" s="1"/>
  <c r="M50" i="457" s="1"/>
  <c r="C61" i="452"/>
  <c r="L61" i="457" s="1"/>
  <c r="M61" i="457" s="1"/>
  <c r="L40" i="447"/>
  <c r="C62" i="452"/>
  <c r="L62" i="457" s="1"/>
  <c r="M62" i="457" s="1"/>
  <c r="L34" i="447"/>
  <c r="C56" i="452"/>
  <c r="L56" i="457" s="1"/>
  <c r="M56" i="457" s="1"/>
  <c r="L41" i="447"/>
  <c r="D114" i="447"/>
  <c r="F114" i="447" s="1"/>
  <c r="G114" i="447" s="1"/>
  <c r="C34" i="452"/>
  <c r="L34" i="457" s="1"/>
  <c r="M34" i="457" s="1"/>
  <c r="K21" i="453"/>
  <c r="K29" i="453"/>
  <c r="K22" i="453"/>
  <c r="C67" i="452"/>
  <c r="L67" i="457" s="1"/>
  <c r="M67" i="457" s="1"/>
  <c r="D115" i="447"/>
  <c r="G115" i="447" s="1"/>
  <c r="C33" i="452"/>
  <c r="L33" i="457" s="1"/>
  <c r="M33" i="457" s="1"/>
  <c r="C49" i="452"/>
  <c r="L49" i="457" s="1"/>
  <c r="M49" i="457" s="1"/>
  <c r="D44" i="447"/>
  <c r="F44" i="447" s="1"/>
  <c r="G44" i="447" s="1"/>
  <c r="D107" i="447"/>
  <c r="F107" i="447" s="1"/>
  <c r="G107" i="447" s="1"/>
  <c r="C41" i="452"/>
  <c r="L41" i="457" s="1"/>
  <c r="M41" i="457" s="1"/>
  <c r="D45" i="452"/>
  <c r="K23" i="453"/>
  <c r="K13" i="453"/>
  <c r="C53" i="452"/>
  <c r="L53" i="457" s="1"/>
  <c r="M53" i="457" s="1"/>
  <c r="C55" i="452"/>
  <c r="L55" i="457" s="1"/>
  <c r="M55" i="457" s="1"/>
  <c r="H74" i="452"/>
  <c r="C69" i="452"/>
  <c r="L69" i="457" s="1"/>
  <c r="M69" i="457" s="1"/>
  <c r="C76" i="452"/>
  <c r="Q32" i="445" s="1"/>
  <c r="C54" i="452"/>
  <c r="L54" i="457" s="1"/>
  <c r="M54" i="457" s="1"/>
  <c r="C48" i="452"/>
  <c r="L48" i="457" s="1"/>
  <c r="M48" i="457" s="1"/>
  <c r="C64" i="452"/>
  <c r="L64" i="457" s="1"/>
  <c r="M64" i="457" s="1"/>
  <c r="D74" i="452"/>
  <c r="C68" i="452"/>
  <c r="L68" i="457" s="1"/>
  <c r="M68" i="457" s="1"/>
  <c r="C66" i="452"/>
  <c r="L66" i="457" s="1"/>
  <c r="M66" i="457" s="1"/>
  <c r="C63" i="452"/>
  <c r="L63" i="457" s="1"/>
  <c r="M63" i="457" s="1"/>
  <c r="D112" i="452"/>
  <c r="H112" i="452"/>
  <c r="L463" i="457"/>
  <c r="M463" i="457" s="1"/>
  <c r="L462" i="457"/>
  <c r="M462" i="457" s="1"/>
  <c r="H9" i="460"/>
  <c r="G12" i="460"/>
  <c r="G35" i="460" s="1"/>
  <c r="E153" i="447"/>
  <c r="E156" i="447"/>
  <c r="E157" i="447" s="1"/>
  <c r="E155" i="447"/>
  <c r="F47" i="445" l="1"/>
  <c r="G40" i="460"/>
  <c r="H37" i="460" s="1"/>
  <c r="L526" i="457"/>
  <c r="M526" i="457" s="1"/>
  <c r="L506" i="457"/>
  <c r="M506" i="457" s="1"/>
  <c r="L454" i="457"/>
  <c r="M454" i="457" s="1"/>
  <c r="C13" i="450"/>
  <c r="E13" i="450"/>
  <c r="F13" i="450" s="1"/>
  <c r="G13" i="450"/>
  <c r="H52" i="452"/>
  <c r="H51" i="452"/>
  <c r="D52" i="452"/>
  <c r="H65" i="452"/>
  <c r="D127" i="447"/>
  <c r="D132" i="447" s="1"/>
  <c r="F132" i="447" s="1"/>
  <c r="D51" i="452"/>
  <c r="D65" i="452"/>
  <c r="H66" i="452"/>
  <c r="D50" i="452"/>
  <c r="D34" i="452"/>
  <c r="H34" i="452"/>
  <c r="H68" i="452"/>
  <c r="D69" i="452"/>
  <c r="H55" i="452"/>
  <c r="D37" i="452"/>
  <c r="D102" i="447"/>
  <c r="F102" i="447" s="1"/>
  <c r="G102" i="447" s="1"/>
  <c r="D39" i="452"/>
  <c r="L33" i="447"/>
  <c r="D66" i="452"/>
  <c r="D55" i="452"/>
  <c r="H62" i="452"/>
  <c r="D36" i="452"/>
  <c r="D40" i="452"/>
  <c r="H36" i="452"/>
  <c r="H43" i="452"/>
  <c r="C150" i="447"/>
  <c r="C152" i="447" s="1"/>
  <c r="H40" i="452"/>
  <c r="H67" i="452"/>
  <c r="D42" i="452"/>
  <c r="H38" i="452"/>
  <c r="H37" i="452"/>
  <c r="D38" i="452"/>
  <c r="D43" i="452"/>
  <c r="H32" i="452"/>
  <c r="H39" i="452"/>
  <c r="D67" i="452"/>
  <c r="H42" i="452"/>
  <c r="H69" i="452"/>
  <c r="B12" i="450"/>
  <c r="G12" i="450" s="1"/>
  <c r="H50" i="452"/>
  <c r="H61" i="452"/>
  <c r="D123" i="447"/>
  <c r="F123" i="447" s="1"/>
  <c r="H35" i="452"/>
  <c r="D68" i="452"/>
  <c r="C28" i="452"/>
  <c r="L28" i="457" s="1"/>
  <c r="D61" i="452"/>
  <c r="D41" i="452"/>
  <c r="D35" i="452"/>
  <c r="K36" i="453"/>
  <c r="K38" i="453" s="1"/>
  <c r="H49" i="452"/>
  <c r="H63" i="452"/>
  <c r="D49" i="452"/>
  <c r="D63" i="452"/>
  <c r="H76" i="452"/>
  <c r="D53" i="452"/>
  <c r="H41" i="452"/>
  <c r="L76" i="457"/>
  <c r="M76" i="457" s="1"/>
  <c r="H53" i="452"/>
  <c r="H54" i="452"/>
  <c r="D56" i="452"/>
  <c r="D32" i="452"/>
  <c r="D54" i="452"/>
  <c r="D33" i="452"/>
  <c r="D76" i="452"/>
  <c r="D62" i="452"/>
  <c r="H33" i="452"/>
  <c r="H56" i="452"/>
  <c r="D64" i="452"/>
  <c r="H64" i="452"/>
  <c r="C71" i="452"/>
  <c r="L71" i="457" s="1"/>
  <c r="M71" i="457" s="1"/>
  <c r="D48" i="452"/>
  <c r="C58" i="452"/>
  <c r="L58" i="457" s="1"/>
  <c r="M58" i="457" s="1"/>
  <c r="H48" i="452"/>
  <c r="H12" i="460"/>
  <c r="H35" i="460" s="1"/>
  <c r="I9" i="460"/>
  <c r="I44" i="447"/>
  <c r="G90" i="447"/>
  <c r="C145" i="447"/>
  <c r="N32" i="446"/>
  <c r="R32" i="445"/>
  <c r="D32" i="447" s="1"/>
  <c r="L508" i="457" l="1"/>
  <c r="M508" i="457" s="1"/>
  <c r="L559" i="457"/>
  <c r="M559" i="457" s="1"/>
  <c r="L533" i="457"/>
  <c r="M533" i="457" s="1"/>
  <c r="H40" i="460"/>
  <c r="H47" i="445" s="1"/>
  <c r="G47" i="445"/>
  <c r="L435" i="457"/>
  <c r="M435" i="457" s="1"/>
  <c r="M28" i="457"/>
  <c r="J86" i="452"/>
  <c r="J172" i="452"/>
  <c r="J201" i="452"/>
  <c r="J100" i="452"/>
  <c r="J293" i="452"/>
  <c r="J242" i="452"/>
  <c r="F127" i="447"/>
  <c r="J246" i="452"/>
  <c r="C139" i="447"/>
  <c r="D139" i="447" s="1"/>
  <c r="D140" i="447" s="1"/>
  <c r="D133" i="447" s="1"/>
  <c r="F133" i="447" s="1"/>
  <c r="G133" i="447" s="1"/>
  <c r="J35" i="452"/>
  <c r="J194" i="452"/>
  <c r="J229" i="452"/>
  <c r="J256" i="452"/>
  <c r="J62" i="452"/>
  <c r="J295" i="452"/>
  <c r="J102" i="452"/>
  <c r="J165" i="452"/>
  <c r="J247" i="452"/>
  <c r="J41" i="452"/>
  <c r="J252" i="452"/>
  <c r="J45" i="452"/>
  <c r="J346" i="452"/>
  <c r="J92" i="452"/>
  <c r="J306" i="452"/>
  <c r="J328" i="452"/>
  <c r="J40" i="452"/>
  <c r="J118" i="452"/>
  <c r="J296" i="452"/>
  <c r="J284" i="452"/>
  <c r="J175" i="452"/>
  <c r="J262" i="452"/>
  <c r="J53" i="452"/>
  <c r="J309" i="452"/>
  <c r="J157" i="452"/>
  <c r="J253" i="452"/>
  <c r="J20" i="452"/>
  <c r="J272" i="452"/>
  <c r="J303" i="452"/>
  <c r="J259" i="452"/>
  <c r="J305" i="452"/>
  <c r="J28" i="452"/>
  <c r="J65" i="452"/>
  <c r="J238" i="452"/>
  <c r="J325" i="452"/>
  <c r="J310" i="452"/>
  <c r="J302" i="452"/>
  <c r="J264" i="452"/>
  <c r="J298" i="452"/>
  <c r="J43" i="452"/>
  <c r="J156" i="452"/>
  <c r="J173" i="452"/>
  <c r="J198" i="452"/>
  <c r="J245" i="452"/>
  <c r="J89" i="452"/>
  <c r="J54" i="452"/>
  <c r="J178" i="452"/>
  <c r="J87" i="452"/>
  <c r="J192" i="452"/>
  <c r="J181" i="452"/>
  <c r="J147" i="452"/>
  <c r="J257" i="452"/>
  <c r="J188" i="452"/>
  <c r="J106" i="452"/>
  <c r="J94" i="452"/>
  <c r="J150" i="452"/>
  <c r="J196" i="452"/>
  <c r="J50" i="452"/>
  <c r="J163" i="452"/>
  <c r="J248" i="452"/>
  <c r="J121" i="452"/>
  <c r="J265" i="452"/>
  <c r="J135" i="452"/>
  <c r="J128" i="452"/>
  <c r="J49" i="452"/>
  <c r="J137" i="452"/>
  <c r="J340" i="452"/>
  <c r="J122" i="452"/>
  <c r="J211" i="452"/>
  <c r="J237" i="452"/>
  <c r="J159" i="452"/>
  <c r="J145" i="452"/>
  <c r="J105" i="452"/>
  <c r="J215" i="452"/>
  <c r="J42" i="452"/>
  <c r="J51" i="452"/>
  <c r="J66" i="452"/>
  <c r="F150" i="447"/>
  <c r="C155" i="447"/>
  <c r="L436" i="457"/>
  <c r="M436" i="457" s="1"/>
  <c r="J152" i="452"/>
  <c r="J276" i="452"/>
  <c r="J274" i="452"/>
  <c r="J48" i="452"/>
  <c r="J212" i="452"/>
  <c r="J119" i="452"/>
  <c r="J61" i="452"/>
  <c r="J199" i="452"/>
  <c r="J26" i="452"/>
  <c r="J220" i="452"/>
  <c r="J316" i="452"/>
  <c r="J297" i="452"/>
  <c r="J177" i="452"/>
  <c r="C12" i="450"/>
  <c r="J183" i="452"/>
  <c r="J294" i="452"/>
  <c r="J90" i="452"/>
  <c r="J270" i="452"/>
  <c r="J109" i="452"/>
  <c r="J217" i="452"/>
  <c r="J38" i="452"/>
  <c r="J222" i="452"/>
  <c r="J149" i="452"/>
  <c r="J85" i="452"/>
  <c r="J67" i="452"/>
  <c r="J197" i="452"/>
  <c r="J326" i="452"/>
  <c r="J69" i="452"/>
  <c r="J275" i="452"/>
  <c r="J214" i="452"/>
  <c r="J131" i="452"/>
  <c r="J68" i="452"/>
  <c r="J182" i="452"/>
  <c r="J216" i="452"/>
  <c r="J84" i="452"/>
  <c r="J336" i="452"/>
  <c r="J281" i="452"/>
  <c r="J116" i="452"/>
  <c r="J120" i="452"/>
  <c r="J219" i="452"/>
  <c r="J52" i="452"/>
  <c r="J254" i="452"/>
  <c r="J166" i="452"/>
  <c r="J97" i="452"/>
  <c r="J308" i="452"/>
  <c r="J34" i="452"/>
  <c r="J285" i="452"/>
  <c r="J271" i="452"/>
  <c r="L494" i="457"/>
  <c r="M494" i="457" s="1"/>
  <c r="J239" i="452"/>
  <c r="J32" i="452"/>
  <c r="J251" i="452"/>
  <c r="J227" i="452"/>
  <c r="J307" i="452"/>
  <c r="J179" i="452"/>
  <c r="J260" i="452"/>
  <c r="J244" i="452"/>
  <c r="J83" i="452"/>
  <c r="J200" i="452"/>
  <c r="J180" i="452"/>
  <c r="J258" i="452"/>
  <c r="J319" i="452"/>
  <c r="J91" i="452"/>
  <c r="J206" i="452"/>
  <c r="J74" i="452"/>
  <c r="B11" i="450"/>
  <c r="H13" i="450" s="1"/>
  <c r="J21" i="452"/>
  <c r="J144" i="452"/>
  <c r="J162" i="452"/>
  <c r="D12" i="450"/>
  <c r="J283" i="452"/>
  <c r="J155" i="452"/>
  <c r="J104" i="452"/>
  <c r="J261" i="452"/>
  <c r="J140" i="452"/>
  <c r="J186" i="452"/>
  <c r="J33" i="452"/>
  <c r="J236" i="452"/>
  <c r="J249" i="452"/>
  <c r="J88" i="452"/>
  <c r="J63" i="452"/>
  <c r="J263" i="452"/>
  <c r="J76" i="452"/>
  <c r="Q31" i="445"/>
  <c r="R31" i="445" s="1"/>
  <c r="C136" i="445" s="1"/>
  <c r="D136" i="445" s="1"/>
  <c r="E136" i="445" s="1"/>
  <c r="F136" i="445" s="1"/>
  <c r="G136" i="445" s="1"/>
  <c r="H136" i="445" s="1"/>
  <c r="I136" i="445" s="1"/>
  <c r="J136" i="445" s="1"/>
  <c r="K136" i="445" s="1"/>
  <c r="L136" i="445" s="1"/>
  <c r="M136" i="445" s="1"/>
  <c r="N136" i="445" s="1"/>
  <c r="J330" i="452"/>
  <c r="J348" i="452"/>
  <c r="J148" i="452"/>
  <c r="J55" i="452"/>
  <c r="J255" i="452"/>
  <c r="J287" i="452"/>
  <c r="J335" i="452"/>
  <c r="J203" i="452"/>
  <c r="J174" i="452"/>
  <c r="J344" i="452"/>
  <c r="J107" i="452"/>
  <c r="D28" i="452"/>
  <c r="J123" i="452"/>
  <c r="J288" i="452"/>
  <c r="H45" i="452"/>
  <c r="J213" i="452"/>
  <c r="J134" i="452"/>
  <c r="J322" i="452"/>
  <c r="J93" i="452"/>
  <c r="J224" i="452"/>
  <c r="J235" i="452"/>
  <c r="J299" i="452"/>
  <c r="J125" i="452"/>
  <c r="J300" i="452"/>
  <c r="E12" i="450"/>
  <c r="F12" i="450" s="1"/>
  <c r="J169" i="452"/>
  <c r="J108" i="452"/>
  <c r="J39" i="452"/>
  <c r="J286" i="452"/>
  <c r="J176" i="452"/>
  <c r="J226" i="452"/>
  <c r="J146" i="452"/>
  <c r="J185" i="452"/>
  <c r="J193" i="452"/>
  <c r="J218" i="452"/>
  <c r="J115" i="452"/>
  <c r="J234" i="452"/>
  <c r="J110" i="452"/>
  <c r="H28" i="452"/>
  <c r="J64" i="452"/>
  <c r="J250" i="452"/>
  <c r="J301" i="452"/>
  <c r="J95" i="452"/>
  <c r="J37" i="452"/>
  <c r="J243" i="452"/>
  <c r="J223" i="452"/>
  <c r="J103" i="452"/>
  <c r="J195" i="452"/>
  <c r="J184" i="452"/>
  <c r="J334" i="452"/>
  <c r="J78" i="452"/>
  <c r="J327" i="452"/>
  <c r="C16" i="452"/>
  <c r="L16" i="457" s="1"/>
  <c r="M16" i="457" s="1"/>
  <c r="J23" i="452"/>
  <c r="J304" i="452"/>
  <c r="J241" i="452"/>
  <c r="J36" i="452"/>
  <c r="J205" i="452"/>
  <c r="J56" i="452"/>
  <c r="J342" i="452"/>
  <c r="J225" i="452"/>
  <c r="D71" i="452"/>
  <c r="H71" i="452"/>
  <c r="J338" i="452"/>
  <c r="D122" i="447"/>
  <c r="J204" i="452"/>
  <c r="J202" i="452"/>
  <c r="J273" i="452"/>
  <c r="J240" i="452"/>
  <c r="J221" i="452"/>
  <c r="J282" i="452"/>
  <c r="J228" i="452"/>
  <c r="J164" i="452"/>
  <c r="J117" i="452"/>
  <c r="J167" i="452"/>
  <c r="J101" i="452"/>
  <c r="D58" i="452"/>
  <c r="H58" i="452"/>
  <c r="I12" i="460"/>
  <c r="I35" i="460" s="1"/>
  <c r="J9" i="460"/>
  <c r="F145" i="447"/>
  <c r="C147" i="447"/>
  <c r="F32" i="447"/>
  <c r="L32" i="447"/>
  <c r="C153" i="447"/>
  <c r="F152" i="447"/>
  <c r="L528" i="457" l="1"/>
  <c r="M528" i="457" s="1"/>
  <c r="I37" i="460"/>
  <c r="I40" i="460" s="1"/>
  <c r="J37" i="460" s="1"/>
  <c r="L480" i="457"/>
  <c r="M480" i="457" s="1"/>
  <c r="J16" i="452"/>
  <c r="C140" i="447"/>
  <c r="D134" i="447" s="1"/>
  <c r="F134" i="447" s="1"/>
  <c r="G134" i="447" s="1"/>
  <c r="H17" i="450"/>
  <c r="J11" i="450"/>
  <c r="I11" i="450"/>
  <c r="H12" i="450"/>
  <c r="L535" i="457"/>
  <c r="M535" i="457" s="1"/>
  <c r="F155" i="447"/>
  <c r="C11" i="452"/>
  <c r="L11" i="457" s="1"/>
  <c r="M11" i="457" s="1"/>
  <c r="C12" i="452"/>
  <c r="L12" i="457" s="1"/>
  <c r="M12" i="457" s="1"/>
  <c r="J290" i="452"/>
  <c r="L578" i="457"/>
  <c r="M578" i="457" s="1"/>
  <c r="D16" i="452"/>
  <c r="B8" i="450"/>
  <c r="C8" i="450" s="1"/>
  <c r="J58" i="452"/>
  <c r="H16" i="452"/>
  <c r="D31" i="447"/>
  <c r="F31" i="447" s="1"/>
  <c r="G31" i="447" s="1"/>
  <c r="H15" i="450"/>
  <c r="H9" i="450"/>
  <c r="J312" i="452"/>
  <c r="R30" i="445"/>
  <c r="C13" i="452"/>
  <c r="L13" i="457" s="1"/>
  <c r="M13" i="457" s="1"/>
  <c r="H10" i="450"/>
  <c r="C14" i="452"/>
  <c r="L14" i="457" s="1"/>
  <c r="M14" i="457" s="1"/>
  <c r="H16" i="450"/>
  <c r="Q30" i="445"/>
  <c r="N30" i="446" s="1"/>
  <c r="E11" i="450"/>
  <c r="F11" i="450" s="1"/>
  <c r="J208" i="452"/>
  <c r="J71" i="452"/>
  <c r="N31" i="446"/>
  <c r="G11" i="450"/>
  <c r="H14" i="450"/>
  <c r="J231" i="452"/>
  <c r="D11" i="450"/>
  <c r="H11" i="450"/>
  <c r="J267" i="452"/>
  <c r="H20" i="450"/>
  <c r="C31" i="449" s="1"/>
  <c r="C11" i="450"/>
  <c r="J112" i="452"/>
  <c r="J278" i="452"/>
  <c r="D11" i="452"/>
  <c r="K9" i="460"/>
  <c r="J12" i="460"/>
  <c r="J35" i="460" s="1"/>
  <c r="F147" i="447"/>
  <c r="F148" i="447" s="1"/>
  <c r="C148" i="447"/>
  <c r="F153" i="447"/>
  <c r="C156" i="447"/>
  <c r="C157" i="447" s="1"/>
  <c r="L560" i="457" l="1"/>
  <c r="M560" i="457" s="1"/>
  <c r="L481" i="457"/>
  <c r="M481" i="457" s="1"/>
  <c r="L553" i="457"/>
  <c r="M553" i="457" s="1"/>
  <c r="L483" i="457"/>
  <c r="M483" i="457" s="1"/>
  <c r="I47" i="445"/>
  <c r="J40" i="460"/>
  <c r="K37" i="460" s="1"/>
  <c r="H18" i="450"/>
  <c r="J12" i="452"/>
  <c r="L31" i="447"/>
  <c r="H11" i="452"/>
  <c r="J11" i="452"/>
  <c r="D30" i="447"/>
  <c r="F30" i="447" s="1"/>
  <c r="G30" i="447" s="1"/>
  <c r="H8" i="450"/>
  <c r="C16" i="449"/>
  <c r="D8" i="450"/>
  <c r="G8" i="450"/>
  <c r="H12" i="452"/>
  <c r="D12" i="452"/>
  <c r="H13" i="452"/>
  <c r="E8" i="450"/>
  <c r="F8" i="450" s="1"/>
  <c r="D14" i="452"/>
  <c r="H14" i="452"/>
  <c r="D13" i="452"/>
  <c r="J13" i="452"/>
  <c r="J14" i="452"/>
  <c r="L482" i="457"/>
  <c r="M482" i="457" s="1"/>
  <c r="K12" i="460"/>
  <c r="K35" i="460" s="1"/>
  <c r="L9" i="460"/>
  <c r="F156" i="447"/>
  <c r="F157" i="447" s="1"/>
  <c r="K40" i="460" l="1"/>
  <c r="L37" i="460" s="1"/>
  <c r="J47" i="445"/>
  <c r="C17" i="449"/>
  <c r="B17" i="449" s="1"/>
  <c r="B16" i="449" s="1"/>
  <c r="B31" i="449" s="1"/>
  <c r="M9" i="460"/>
  <c r="L12" i="460"/>
  <c r="L35" i="460" s="1"/>
  <c r="L40" i="460" l="1"/>
  <c r="M37" i="460" s="1"/>
  <c r="K47" i="445"/>
  <c r="M12" i="460"/>
  <c r="M35" i="460" s="1"/>
  <c r="N9" i="460"/>
  <c r="N12" i="460" s="1"/>
  <c r="N35" i="460" s="1"/>
  <c r="M40" i="460" l="1"/>
  <c r="N37" i="460" s="1"/>
  <c r="N40" i="460" s="1"/>
  <c r="N47" i="445" s="1"/>
  <c r="Q47" i="445" s="1"/>
  <c r="L47" i="445"/>
  <c r="M47" i="445" l="1"/>
  <c r="H83" i="447"/>
  <c r="I83" i="447" s="1"/>
  <c r="J83" i="447"/>
  <c r="C124" i="447"/>
  <c r="F124" i="447" s="1"/>
  <c r="G83" i="447" l="1"/>
  <c r="H124" i="447"/>
  <c r="C122" i="447"/>
  <c r="H122" i="447" l="1"/>
  <c r="I122" i="447" s="1"/>
  <c r="F122" i="447"/>
  <c r="G122" i="447" s="1"/>
</calcChain>
</file>

<file path=xl/comments1.xml><?xml version="1.0" encoding="utf-8"?>
<comments xmlns="http://schemas.openxmlformats.org/spreadsheetml/2006/main">
  <authors>
    <author>John M. Burson</author>
  </authors>
  <commentList>
    <comment ref="O5" authorId="0">
      <text>
        <r>
          <rPr>
            <b/>
            <sz val="8"/>
            <color indexed="81"/>
            <rFont val="Tahoma"/>
            <family val="2"/>
          </rPr>
          <t xml:space="preserve">Update Period Number to calculate year-to-date budget plan.
</t>
        </r>
      </text>
    </comment>
    <comment ref="C48" authorId="0">
      <text>
        <r>
          <rPr>
            <b/>
            <sz val="8"/>
            <color indexed="81"/>
            <rFont val="Tahoma"/>
            <family val="2"/>
          </rPr>
          <t xml:space="preserve">Copy a nd Paste to Year-to-Date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8" authorId="0">
      <text>
        <r>
          <rPr>
            <b/>
            <sz val="8"/>
            <color indexed="81"/>
            <rFont val="Tahoma"/>
            <family val="2"/>
          </rPr>
          <t xml:space="preserve">Copy &amp; Paste to YTD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<sst xmlns="http://schemas.openxmlformats.org/spreadsheetml/2006/main" count="2286" uniqueCount="1112">
  <si>
    <t>Actual</t>
  </si>
  <si>
    <t>Period</t>
  </si>
  <si>
    <t>Cash vs. Accounts Receivable:</t>
  </si>
  <si>
    <t>Cash balance</t>
  </si>
  <si>
    <t>Accounts receivable</t>
  </si>
  <si>
    <t xml:space="preserve">Current </t>
  </si>
  <si>
    <t>Employees</t>
  </si>
  <si>
    <t>Over 30</t>
  </si>
  <si>
    <t>Over 60</t>
  </si>
  <si>
    <t>Travel Advance</t>
  </si>
  <si>
    <t>Overtime</t>
  </si>
  <si>
    <t>Technical</t>
  </si>
  <si>
    <t>Total overtime</t>
  </si>
  <si>
    <t>Overtime percentage</t>
  </si>
  <si>
    <t>NonTechnical</t>
  </si>
  <si>
    <t>Average overtime percentage firmwide</t>
  </si>
  <si>
    <t>Full-time-equivalents: Tech/NonTech</t>
  </si>
  <si>
    <t>Total technical</t>
  </si>
  <si>
    <t>Total nontechnical</t>
  </si>
  <si>
    <t>Total FTE</t>
  </si>
  <si>
    <t>FTE: Regular+Overtime</t>
  </si>
  <si>
    <t>FTE-Regular</t>
  </si>
  <si>
    <t>FTE-Overtime</t>
  </si>
  <si>
    <t>FTE-Total</t>
  </si>
  <si>
    <t>Ratio: Technical/NonTechnical</t>
  </si>
  <si>
    <t>Utilization rates:</t>
  </si>
  <si>
    <t>Firm-wide dollars</t>
  </si>
  <si>
    <t>Firm-wide standard hours</t>
  </si>
  <si>
    <t>Firm-wide total hours</t>
  </si>
  <si>
    <t>Technical only hours</t>
  </si>
  <si>
    <t>Per Direct Hour</t>
  </si>
  <si>
    <t>Net revenue</t>
  </si>
  <si>
    <t>Average direct labor rate</t>
  </si>
  <si>
    <t>Overhead expense</t>
  </si>
  <si>
    <t>Break-even</t>
  </si>
  <si>
    <t>Operating profit</t>
  </si>
  <si>
    <t>Multiples of Direct Labor</t>
  </si>
  <si>
    <t>Direct labor</t>
  </si>
  <si>
    <t>Overhead rate</t>
  </si>
  <si>
    <t>Total revenue</t>
  </si>
  <si>
    <t>Net Revenue per FTE</t>
  </si>
  <si>
    <t>Operating Profit per FTE</t>
  </si>
  <si>
    <t>Revenue factor</t>
  </si>
  <si>
    <t>Net multiplier</t>
  </si>
  <si>
    <t>Utilization rate</t>
  </si>
  <si>
    <t>Total labor</t>
  </si>
  <si>
    <t>Revenue factor variance</t>
  </si>
  <si>
    <t>Labor percentage of net revenue</t>
  </si>
  <si>
    <t>Revenue</t>
  </si>
  <si>
    <t>Direct Labor</t>
  </si>
  <si>
    <t>Indirect Labor</t>
  </si>
  <si>
    <t>Budget</t>
  </si>
  <si>
    <t>Total</t>
  </si>
  <si>
    <t>Net</t>
  </si>
  <si>
    <t>Other indirect expense</t>
  </si>
  <si>
    <t>Labor</t>
  </si>
  <si>
    <t>Objective</t>
  </si>
  <si>
    <t>Variance</t>
  </si>
  <si>
    <t>Year-to-Date</t>
  </si>
  <si>
    <t>Last</t>
  </si>
  <si>
    <t>YTD</t>
  </si>
  <si>
    <t>Profit</t>
  </si>
  <si>
    <t>Monthly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</si>
  <si>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</si>
  <si>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</si>
  <si>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</si>
  <si>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</si>
  <si>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</si>
  <si>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</si>
  <si>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</si>
  <si>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</si>
  <si>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</si>
  <si>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</si>
  <si>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</si>
  <si>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</si>
  <si>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Time Analysis</t>
  </si>
  <si>
    <t>Technical direct</t>
  </si>
  <si>
    <t>Technical indirect</t>
  </si>
  <si>
    <t>Technical indirect PTO</t>
  </si>
  <si>
    <t>Non-technical indirect</t>
  </si>
  <si>
    <t>Non-technical indirect PTO</t>
  </si>
  <si>
    <t>Total technical and nontechnical</t>
  </si>
  <si>
    <t>Standard hours</t>
  </si>
  <si>
    <t>Technical OT</t>
  </si>
  <si>
    <t>Non-technical OT</t>
  </si>
  <si>
    <t>Row</t>
  </si>
  <si>
    <t>Condensed Income Statement</t>
  </si>
  <si>
    <t>Total Revenue - Percentage of Net Revenue</t>
  </si>
  <si>
    <t>1</t>
  </si>
  <si>
    <t>2</t>
  </si>
  <si>
    <t>Less: Total reimbursable expense</t>
  </si>
  <si>
    <t>3</t>
  </si>
  <si>
    <t>Less: Total direct expense (including direct labor)</t>
  </si>
  <si>
    <t>4</t>
  </si>
  <si>
    <t>Gross Profit</t>
  </si>
  <si>
    <t>5</t>
  </si>
  <si>
    <t>Plus: Direct labor</t>
  </si>
  <si>
    <t>6</t>
  </si>
  <si>
    <t>7</t>
  </si>
  <si>
    <t>Indirect labor</t>
  </si>
  <si>
    <t>8</t>
  </si>
  <si>
    <t>Indirect labor - paid time off</t>
  </si>
  <si>
    <t>9</t>
  </si>
  <si>
    <t>Total-Indirect Labor</t>
  </si>
  <si>
    <t>10</t>
  </si>
  <si>
    <t>11</t>
  </si>
  <si>
    <t>Total Overhead expense</t>
  </si>
  <si>
    <t>12</t>
  </si>
  <si>
    <t>13</t>
  </si>
  <si>
    <t>Operating Profit - Percentage of Net Revenue</t>
  </si>
  <si>
    <t>Cash Plan</t>
  </si>
  <si>
    <t>Cash Balance</t>
  </si>
  <si>
    <t>Accounts Receivable</t>
  </si>
  <si>
    <t>Over 90 Other</t>
  </si>
  <si>
    <t>Technical-regular FTE</t>
  </si>
  <si>
    <t>Technical-overtime FTE</t>
  </si>
  <si>
    <t>Total technical FTE</t>
  </si>
  <si>
    <t>NonTechnical regular FTE</t>
  </si>
  <si>
    <t>NonTechnical overtime FTE</t>
  </si>
  <si>
    <t>Total nontechnical FTE</t>
  </si>
  <si>
    <t>Labor variance</t>
  </si>
  <si>
    <t>Total Labor</t>
  </si>
  <si>
    <t>Net Revenue.Total staff</t>
  </si>
  <si>
    <t>Net.RevenueTechnical staff</t>
  </si>
  <si>
    <t>Profit.Total staff</t>
  </si>
  <si>
    <t>Profit.Technical staff</t>
  </si>
  <si>
    <t>Labor Multiplier (Revenue Factor)</t>
  </si>
  <si>
    <t>Accumulated Graphic Chart Data</t>
  </si>
  <si>
    <t>Total Revenue-Actual</t>
  </si>
  <si>
    <t>Total Revenue-Budget</t>
  </si>
  <si>
    <t>Net Revenue-Actual</t>
  </si>
  <si>
    <t>Net Revenue-Budget</t>
  </si>
  <si>
    <t>Operating Profit-Actual</t>
  </si>
  <si>
    <t>Operating Profit-Budget</t>
  </si>
  <si>
    <t>Overhead-Actual</t>
  </si>
  <si>
    <t>Overhead-Budget</t>
  </si>
  <si>
    <t>Indirect Labor-Actual</t>
  </si>
  <si>
    <t>Indirect Labor-Budget</t>
  </si>
  <si>
    <t>Total Labor-Actual</t>
  </si>
  <si>
    <t>Total Labor-Budget</t>
  </si>
  <si>
    <t>Direct Labor-Actual</t>
  </si>
  <si>
    <t>Direct Labor-Budget</t>
  </si>
  <si>
    <t>Actual YTD</t>
  </si>
  <si>
    <t xml:space="preserve">Break-even </t>
  </si>
  <si>
    <t>Current</t>
  </si>
  <si>
    <t>Label</t>
  </si>
  <si>
    <t>Varince</t>
  </si>
  <si>
    <t>Net revenue variance</t>
  </si>
  <si>
    <t>Total labor variance</t>
  </si>
  <si>
    <t>Planned value based on profit plan revenue factor</t>
  </si>
  <si>
    <t>Profit Plan Revenue Factor</t>
  </si>
  <si>
    <t>Calculated Planned Values</t>
  </si>
  <si>
    <t>Direct</t>
  </si>
  <si>
    <t>Operating</t>
  </si>
  <si>
    <t>Price/Volume Variance Analysis</t>
  </si>
  <si>
    <t>Overhead</t>
  </si>
  <si>
    <t>Price Variance per Direct Labor Hour</t>
  </si>
  <si>
    <t>Actual Direct Labor Hours Year to Date</t>
  </si>
  <si>
    <t>Price Variance (1 x 2)</t>
  </si>
  <si>
    <t>Budget Price Per Direct Hour</t>
  </si>
  <si>
    <t>Direct Hour Variance</t>
  </si>
  <si>
    <t>Volume Variance (4 x 5)</t>
  </si>
  <si>
    <t>Actual Price Per Direct Hour (1 + 4)</t>
  </si>
  <si>
    <t>Net Variance (3 + 6)</t>
  </si>
  <si>
    <t>Time Analysis (hours)</t>
  </si>
  <si>
    <t>Overtime (hours)</t>
  </si>
  <si>
    <t>Total Revenue - % of Net Revenue</t>
  </si>
  <si>
    <t>Work-in-progress/Unbilled Services</t>
  </si>
  <si>
    <t xml:space="preserve">     </t>
  </si>
  <si>
    <t>Operating profit percentage of total revenue</t>
  </si>
  <si>
    <t>Operating profit percentage of net revenue</t>
  </si>
  <si>
    <t>DPE factor</t>
  </si>
  <si>
    <t>Multiple of DPE</t>
  </si>
  <si>
    <t>Operating profit multiple of direct labor</t>
  </si>
  <si>
    <t>Break-even multiplier</t>
  </si>
  <si>
    <t>Overhead multiple of direct labor</t>
  </si>
  <si>
    <t>Net Multiplier</t>
  </si>
  <si>
    <t>Other direct and reimbursable</t>
  </si>
  <si>
    <t>Total Multiplier</t>
  </si>
  <si>
    <t>Operating profit per direct labor hour</t>
  </si>
  <si>
    <t>Break-even rate</t>
  </si>
  <si>
    <t>Overhead per direct labor hour</t>
  </si>
  <si>
    <t>Average billing rate per direct hour</t>
  </si>
  <si>
    <t>Plan</t>
  </si>
  <si>
    <t>Multipliers</t>
  </si>
  <si>
    <t>Annual</t>
  </si>
  <si>
    <t>Project</t>
  </si>
  <si>
    <t>Summary of Budget Rates and Multipliers:</t>
  </si>
  <si>
    <t>Net Revenue</t>
  </si>
  <si>
    <t>(Net revenue / Total labor)</t>
  </si>
  <si>
    <t>Utilization Rate</t>
  </si>
  <si>
    <t>(Net multiplier x Utilization rate)</t>
  </si>
  <si>
    <t>Revenue Factor Target</t>
  </si>
  <si>
    <t>Technical staff</t>
  </si>
  <si>
    <t>Total staff</t>
  </si>
  <si>
    <t>Full-time-equivalents</t>
  </si>
  <si>
    <t>(Divided into multiple of direct labor to compute multiple of DPE)</t>
  </si>
  <si>
    <t>DPE Factor from Labor Budget</t>
  </si>
  <si>
    <t>Operating Profit</t>
  </si>
  <si>
    <t>Break-even point</t>
  </si>
  <si>
    <t>Indirect expense</t>
  </si>
  <si>
    <t>Total direct consultants and other</t>
  </si>
  <si>
    <t>Revenue less Reimbursables</t>
  </si>
  <si>
    <t>Reimbursable Expenses</t>
  </si>
  <si>
    <t>Total Revenue</t>
  </si>
  <si>
    <t>Unbilled Revenue-WIP</t>
  </si>
  <si>
    <t>Reimbursable Revenue</t>
  </si>
  <si>
    <t>Billed fee</t>
  </si>
  <si>
    <t>FTE</t>
  </si>
  <si>
    <t>DPE</t>
  </si>
  <si>
    <t>Hour</t>
  </si>
  <si>
    <t>Profit Plan Analysis:</t>
  </si>
  <si>
    <t>of Total</t>
  </si>
  <si>
    <t>of Net</t>
  </si>
  <si>
    <t>of</t>
  </si>
  <si>
    <t>of Dir</t>
  </si>
  <si>
    <t>Target</t>
  </si>
  <si>
    <t>Per</t>
  </si>
  <si>
    <t xml:space="preserve">Percent </t>
  </si>
  <si>
    <t>Percent</t>
  </si>
  <si>
    <t>Mult</t>
  </si>
  <si>
    <t>Technical only</t>
  </si>
  <si>
    <t>Firmwide less PTO</t>
  </si>
  <si>
    <t>Firmwide</t>
  </si>
  <si>
    <t>Hours</t>
  </si>
  <si>
    <t>Dollars</t>
  </si>
  <si>
    <t>Utilization Rates:</t>
  </si>
  <si>
    <t>Ratio: Technical/Nontechnical</t>
  </si>
  <si>
    <t>Total less PTO</t>
  </si>
  <si>
    <t>Total technical and nontechnical PTO</t>
  </si>
  <si>
    <t xml:space="preserve">           </t>
  </si>
  <si>
    <t>Increase in net worth</t>
  </si>
  <si>
    <t>*Dividend/Principals' Bonus</t>
  </si>
  <si>
    <t>Net profit after tax</t>
  </si>
  <si>
    <t>*Provision for Income Tax</t>
  </si>
  <si>
    <t>999.00</t>
  </si>
  <si>
    <t>Net Profit Before Tax</t>
  </si>
  <si>
    <t>Total Other Expense</t>
  </si>
  <si>
    <t>*Retirement Plan Contrib.</t>
  </si>
  <si>
    <t>988.00</t>
  </si>
  <si>
    <t>*Cash Bonus</t>
  </si>
  <si>
    <t>987.00</t>
  </si>
  <si>
    <t>*Bonus Payroll Tax Exp.</t>
  </si>
  <si>
    <t>986.00</t>
  </si>
  <si>
    <t>Bad Debt Write Off</t>
  </si>
  <si>
    <t>911.40</t>
  </si>
  <si>
    <t>Other Expense</t>
  </si>
  <si>
    <t>Total Other Revenue</t>
  </si>
  <si>
    <t>*Recovery of Bad Debt W/O</t>
  </si>
  <si>
    <t>811.40</t>
  </si>
  <si>
    <t>*Sale of Assets-Gain/Loss</t>
  </si>
  <si>
    <t>811.30</t>
  </si>
  <si>
    <t>Cash Value Life Insurance</t>
  </si>
  <si>
    <t>811.50</t>
  </si>
  <si>
    <t>*Interest Income</t>
  </si>
  <si>
    <t>811.10</t>
  </si>
  <si>
    <t>Other Revenue</t>
  </si>
  <si>
    <t>Total Indirect</t>
  </si>
  <si>
    <t>Total Other Indirect</t>
  </si>
  <si>
    <t>Personnel Training</t>
  </si>
  <si>
    <t>797.00</t>
  </si>
  <si>
    <t>Plotter Expense Recovery (Cr)</t>
  </si>
  <si>
    <t>796.90</t>
  </si>
  <si>
    <t>Color Plotter-Large Format</t>
  </si>
  <si>
    <t>796.20</t>
  </si>
  <si>
    <t>Plotter Maintenance</t>
  </si>
  <si>
    <t>796.10</t>
  </si>
  <si>
    <t>Plotter Supplies</t>
  </si>
  <si>
    <t>796.00</t>
  </si>
  <si>
    <t>Deltek OSP and Vision Support</t>
  </si>
  <si>
    <t>795.41</t>
  </si>
  <si>
    <t>795.40</t>
  </si>
  <si>
    <t>Computer Software Training Subscription</t>
  </si>
  <si>
    <t>795.30</t>
  </si>
  <si>
    <t>Computer Software Support</t>
  </si>
  <si>
    <t>795.20</t>
  </si>
  <si>
    <t>Computer Software Annual Updates</t>
  </si>
  <si>
    <t>795.10</t>
  </si>
  <si>
    <t>Computer Supplies</t>
  </si>
  <si>
    <t>795.00</t>
  </si>
  <si>
    <t>Online Service-Time Warner</t>
  </si>
  <si>
    <t>793.10</t>
  </si>
  <si>
    <t>Web Site Expense_Archplus.com</t>
  </si>
  <si>
    <t>793.20</t>
  </si>
  <si>
    <t>Computer Online Service-Dallas</t>
  </si>
  <si>
    <t>793.01</t>
  </si>
  <si>
    <t>Computer Online Service-Monroe</t>
  </si>
  <si>
    <t>793.00</t>
  </si>
  <si>
    <t>Computer Repairs</t>
  </si>
  <si>
    <t>792.10</t>
  </si>
  <si>
    <t>Computer Maintenance</t>
  </si>
  <si>
    <t>792.00</t>
  </si>
  <si>
    <t>Business Promotion</t>
  </si>
  <si>
    <t>785.00</t>
  </si>
  <si>
    <t>Advertising</t>
  </si>
  <si>
    <t>784.00</t>
  </si>
  <si>
    <t>Business Entertainment</t>
  </si>
  <si>
    <t>786.00</t>
  </si>
  <si>
    <t>Public Relations</t>
  </si>
  <si>
    <t>783.00</t>
  </si>
  <si>
    <t>782.00</t>
  </si>
  <si>
    <t>Abandonment</t>
  </si>
  <si>
    <t>774.00</t>
  </si>
  <si>
    <t>Depreciation Sec. 179</t>
  </si>
  <si>
    <t>773.00</t>
  </si>
  <si>
    <t>775.00</t>
  </si>
  <si>
    <t>Depreciation Software</t>
  </si>
  <si>
    <t>773.10</t>
  </si>
  <si>
    <t>Depreciation Computer Equipment</t>
  </si>
  <si>
    <t>Depreciation Leasehold Improvements</t>
  </si>
  <si>
    <t>772.00</t>
  </si>
  <si>
    <t>Depreciation Furn &amp; Fixtures</t>
  </si>
  <si>
    <t>771.00</t>
  </si>
  <si>
    <t>Printing &amp; Stationery</t>
  </si>
  <si>
    <t>769.50</t>
  </si>
  <si>
    <t>Copier Paper &amp; Supplies</t>
  </si>
  <si>
    <t>769.40</t>
  </si>
  <si>
    <t>Books &amp; Periodicals</t>
  </si>
  <si>
    <t>769.30</t>
  </si>
  <si>
    <t>Dues</t>
  </si>
  <si>
    <t>769.20</t>
  </si>
  <si>
    <t>Drafting Supplies</t>
  </si>
  <si>
    <t>769.10</t>
  </si>
  <si>
    <t>769.01</t>
  </si>
  <si>
    <t>769.00</t>
  </si>
  <si>
    <t>Telephone-Cellular</t>
  </si>
  <si>
    <t>768.10</t>
  </si>
  <si>
    <t>768.01</t>
  </si>
  <si>
    <t>768.00</t>
  </si>
  <si>
    <t>Rent Adjustment</t>
  </si>
  <si>
    <t>767.20</t>
  </si>
  <si>
    <t>767.11</t>
  </si>
  <si>
    <t>767.10</t>
  </si>
  <si>
    <t>Rent-Dallas Office</t>
  </si>
  <si>
    <t>767.01</t>
  </si>
  <si>
    <t>Rent-Monroe Office</t>
  </si>
  <si>
    <t>767.00</t>
  </si>
  <si>
    <t>R &amp; M Office Machines</t>
  </si>
  <si>
    <t>766.70</t>
  </si>
  <si>
    <t>Maintenance Contracts</t>
  </si>
  <si>
    <t>766.60</t>
  </si>
  <si>
    <t>Repairs &amp; Maintenance</t>
  </si>
  <si>
    <t>766.50</t>
  </si>
  <si>
    <t>Bulbs</t>
  </si>
  <si>
    <t>766.40</t>
  </si>
  <si>
    <t>Janitorial Expense</t>
  </si>
  <si>
    <t>766.30</t>
  </si>
  <si>
    <t>Paper Supplies</t>
  </si>
  <si>
    <t>766.20</t>
  </si>
  <si>
    <t>Vending Machine Income (Cr)</t>
  </si>
  <si>
    <t>766.11</t>
  </si>
  <si>
    <t>Beverage &amp; Vending Machine</t>
  </si>
  <si>
    <t>766.10</t>
  </si>
  <si>
    <t>Other Office Expense</t>
  </si>
  <si>
    <t>766.00</t>
  </si>
  <si>
    <t>Penalties</t>
  </si>
  <si>
    <t>765.00</t>
  </si>
  <si>
    <t>Equipment Rental-Xerox</t>
  </si>
  <si>
    <t>763.10</t>
  </si>
  <si>
    <t>Postage/Ship/Delivery</t>
  </si>
  <si>
    <t>763.00</t>
  </si>
  <si>
    <t>Renderings/Photos/Models</t>
  </si>
  <si>
    <t>762.00</t>
  </si>
  <si>
    <t>Print/Repro Supplies</t>
  </si>
  <si>
    <t>761.10</t>
  </si>
  <si>
    <t>Reproductions-Outside</t>
  </si>
  <si>
    <t>761.00</t>
  </si>
  <si>
    <t>Print/Repro Recovery (Cr)</t>
  </si>
  <si>
    <t>760.10</t>
  </si>
  <si>
    <t>Miscell Exp Recovery (Cr)</t>
  </si>
  <si>
    <t>760.00</t>
  </si>
  <si>
    <t>Interest-Stock Redemption</t>
  </si>
  <si>
    <t>759.00</t>
  </si>
  <si>
    <t>Errors &amp; Omissions</t>
  </si>
  <si>
    <t>758.00</t>
  </si>
  <si>
    <t>757.60</t>
  </si>
  <si>
    <t>Contributions</t>
  </si>
  <si>
    <t>757.50</t>
  </si>
  <si>
    <t>Sales Use Tax Expense</t>
  </si>
  <si>
    <t>757.40</t>
  </si>
  <si>
    <t>Corp Annual Registration</t>
  </si>
  <si>
    <t>757.30</t>
  </si>
  <si>
    <t>Corp Franchise Tax</t>
  </si>
  <si>
    <t>757.20</t>
  </si>
  <si>
    <t>Personal Property Taxes</t>
  </si>
  <si>
    <t>757.10</t>
  </si>
  <si>
    <t>Miscell Tax &amp; Licenses</t>
  </si>
  <si>
    <t>757.00</t>
  </si>
  <si>
    <t>Stockholders' Disability Ins.</t>
  </si>
  <si>
    <t>756.20</t>
  </si>
  <si>
    <t>Life insurance cash value</t>
  </si>
  <si>
    <t>756.11</t>
  </si>
  <si>
    <t>Stockholders' Life Insurance</t>
  </si>
  <si>
    <t>756.10</t>
  </si>
  <si>
    <t>Other Insurance (Sch)</t>
  </si>
  <si>
    <t>756.00</t>
  </si>
  <si>
    <t>Prof Liability Insurance (Sch)</t>
  </si>
  <si>
    <t>755.00</t>
  </si>
  <si>
    <t>Network support</t>
  </si>
  <si>
    <t>754.00</t>
  </si>
  <si>
    <t>Bank Service Charge</t>
  </si>
  <si>
    <t>753.00</t>
  </si>
  <si>
    <t>Professional Services-LEED Consultant</t>
  </si>
  <si>
    <t>752.10</t>
  </si>
  <si>
    <t>Accounting/Tax</t>
  </si>
  <si>
    <t>752.00</t>
  </si>
  <si>
    <t>Legal</t>
  </si>
  <si>
    <t>751.00</t>
  </si>
  <si>
    <t>Other Travel Expense</t>
  </si>
  <si>
    <t>749.00</t>
  </si>
  <si>
    <t>Auto Gas &amp; Oil</t>
  </si>
  <si>
    <t>748.00</t>
  </si>
  <si>
    <t>747.30</t>
  </si>
  <si>
    <t>747.20</t>
  </si>
  <si>
    <t>Conventions</t>
  </si>
  <si>
    <t>747.10</t>
  </si>
  <si>
    <t>747.00</t>
  </si>
  <si>
    <t>Personal Auto Mileage</t>
  </si>
  <si>
    <t>746.00</t>
  </si>
  <si>
    <t>Car Rental</t>
  </si>
  <si>
    <t>745.00</t>
  </si>
  <si>
    <t>Rental Car Gasoline</t>
  </si>
  <si>
    <t>745.10</t>
  </si>
  <si>
    <t>Charter Air Travel-Discounts(CR)</t>
  </si>
  <si>
    <t>744.10</t>
  </si>
  <si>
    <t>Charter Air Travel</t>
  </si>
  <si>
    <t>744.00</t>
  </si>
  <si>
    <t>Parking</t>
  </si>
  <si>
    <t>743.10</t>
  </si>
  <si>
    <t>Commercial Air Travel</t>
  </si>
  <si>
    <t>743.00</t>
  </si>
  <si>
    <t>Meals-Indirect</t>
  </si>
  <si>
    <t>742.00</t>
  </si>
  <si>
    <t>Lodging</t>
  </si>
  <si>
    <t>741.00</t>
  </si>
  <si>
    <t>Total benefits</t>
  </si>
  <si>
    <t>LB-Cell Phone</t>
  </si>
  <si>
    <t>739.20</t>
  </si>
  <si>
    <t>Moving Expenses</t>
  </si>
  <si>
    <t>739.10</t>
  </si>
  <si>
    <t>Employee Relations</t>
  </si>
  <si>
    <t>739.00</t>
  </si>
  <si>
    <t>Professional Registration</t>
  </si>
  <si>
    <t>738.00</t>
  </si>
  <si>
    <t>Grant Training-Office Equipment</t>
  </si>
  <si>
    <t>737.30</t>
  </si>
  <si>
    <t>Grant Tr Room-Security System</t>
  </si>
  <si>
    <t>737.20</t>
  </si>
  <si>
    <t>Grant Training Room Rent</t>
  </si>
  <si>
    <t>737.10</t>
  </si>
  <si>
    <t>Professional Development</t>
  </si>
  <si>
    <t>737.00</t>
  </si>
  <si>
    <t>Retirement Plan Fees</t>
  </si>
  <si>
    <t>735.10</t>
  </si>
  <si>
    <t>Employment Agency Fees</t>
  </si>
  <si>
    <t>734.00</t>
  </si>
  <si>
    <t xml:space="preserve">*Disability Income Ins. </t>
  </si>
  <si>
    <t>733.00</t>
  </si>
  <si>
    <t>Stockholders Physical</t>
  </si>
  <si>
    <t>732.10</t>
  </si>
  <si>
    <t>Employee Medical Expense</t>
  </si>
  <si>
    <t>731.10</t>
  </si>
  <si>
    <t>731.01</t>
  </si>
  <si>
    <t xml:space="preserve">*Health Care Insurance </t>
  </si>
  <si>
    <t>731.00</t>
  </si>
  <si>
    <t>Benefits</t>
  </si>
  <si>
    <t>Total payroll related expense</t>
  </si>
  <si>
    <t>Misc Employee Benefits</t>
  </si>
  <si>
    <t>729.00</t>
  </si>
  <si>
    <t>724.00</t>
  </si>
  <si>
    <t>723.00</t>
  </si>
  <si>
    <t>722.00</t>
  </si>
  <si>
    <t>721.10</t>
  </si>
  <si>
    <t>721.00</t>
  </si>
  <si>
    <t>Payroll related expense</t>
  </si>
  <si>
    <t>Total paid-time-off</t>
  </si>
  <si>
    <t>713.00</t>
  </si>
  <si>
    <t>712.00</t>
  </si>
  <si>
    <t>711.00</t>
  </si>
  <si>
    <t>Paid-time-off</t>
  </si>
  <si>
    <t>Total indirect labor</t>
  </si>
  <si>
    <t>Temporary Help</t>
  </si>
  <si>
    <t>704.00</t>
  </si>
  <si>
    <t>Overtime Applied to Personal PTO</t>
  </si>
  <si>
    <t>703.01</t>
  </si>
  <si>
    <t>Payroll Variance</t>
  </si>
  <si>
    <t>703.00</t>
  </si>
  <si>
    <t>702.10</t>
  </si>
  <si>
    <t>702.00</t>
  </si>
  <si>
    <t>701.10</t>
  </si>
  <si>
    <t>701.00</t>
  </si>
  <si>
    <t>Indirect Expense</t>
  </si>
  <si>
    <t>Gross profit</t>
  </si>
  <si>
    <t>Total direct labor</t>
  </si>
  <si>
    <t>602.00</t>
  </si>
  <si>
    <t>601.00</t>
  </si>
  <si>
    <t>Bad Debt Expense</t>
  </si>
  <si>
    <t>669.00</t>
  </si>
  <si>
    <t>Long Distance Telephone/Fax</t>
  </si>
  <si>
    <t>666.10</t>
  </si>
  <si>
    <t>666.00</t>
  </si>
  <si>
    <t>Specification Printing</t>
  </si>
  <si>
    <t>665.00</t>
  </si>
  <si>
    <t>Plan Review-Fire Marshall</t>
  </si>
  <si>
    <t>664.00</t>
  </si>
  <si>
    <t>Postage/Shipping/Delivery</t>
  </si>
  <si>
    <t>663.00</t>
  </si>
  <si>
    <t>662.00</t>
  </si>
  <si>
    <t>Reproductions - Inhouse</t>
  </si>
  <si>
    <t>661.10</t>
  </si>
  <si>
    <t>Reproductions</t>
  </si>
  <si>
    <t>661.00</t>
  </si>
  <si>
    <t>Errors &amp; omissions</t>
  </si>
  <si>
    <t>658.00</t>
  </si>
  <si>
    <t>647.00</t>
  </si>
  <si>
    <t>646.00</t>
  </si>
  <si>
    <t>Car Rental-Gasoline</t>
  </si>
  <si>
    <t>645.10</t>
  </si>
  <si>
    <t>645.00</t>
  </si>
  <si>
    <t>Charter Air</t>
  </si>
  <si>
    <t>644.00</t>
  </si>
  <si>
    <t>Commercial Air-Airport Parking</t>
  </si>
  <si>
    <t>643.10</t>
  </si>
  <si>
    <t>Commercial Air</t>
  </si>
  <si>
    <t>643.00</t>
  </si>
  <si>
    <t>Meals-Direct</t>
  </si>
  <si>
    <t>642.00</t>
  </si>
  <si>
    <t>641.00</t>
  </si>
  <si>
    <t>639.00</t>
  </si>
  <si>
    <t>Total Direct Consultants</t>
  </si>
  <si>
    <t>Planning Consultant</t>
  </si>
  <si>
    <t>619.10</t>
  </si>
  <si>
    <t>Graphics Consultant</t>
  </si>
  <si>
    <t>619.20</t>
  </si>
  <si>
    <t>Other</t>
  </si>
  <si>
    <t>619.00</t>
  </si>
  <si>
    <t>Architectural</t>
  </si>
  <si>
    <t>618.00</t>
  </si>
  <si>
    <t>Sprinkler</t>
  </si>
  <si>
    <t>617.00</t>
  </si>
  <si>
    <t>Landscape</t>
  </si>
  <si>
    <t>616.00</t>
  </si>
  <si>
    <t>Civil-Survey</t>
  </si>
  <si>
    <t>615.50</t>
  </si>
  <si>
    <t>Civil-Geotgechnical</t>
  </si>
  <si>
    <t>615.10</t>
  </si>
  <si>
    <t>Civil</t>
  </si>
  <si>
    <t>615.00</t>
  </si>
  <si>
    <t>Mechanical &amp; Electrical</t>
  </si>
  <si>
    <t>614.00</t>
  </si>
  <si>
    <t>Electrical</t>
  </si>
  <si>
    <t>613.00</t>
  </si>
  <si>
    <t>Mechanical</t>
  </si>
  <si>
    <t>612.00</t>
  </si>
  <si>
    <t>Structural</t>
  </si>
  <si>
    <t>611.00</t>
  </si>
  <si>
    <t>Direct Consultants:</t>
  </si>
  <si>
    <t>Other Direct Expense</t>
  </si>
  <si>
    <t>Revenue less reimbursable  expense</t>
  </si>
  <si>
    <t>Total reimbursable expense</t>
  </si>
  <si>
    <t>Total other reimbursable expense</t>
  </si>
  <si>
    <t>566.00</t>
  </si>
  <si>
    <t>Web Hosting Expense</t>
  </si>
  <si>
    <t>567.00</t>
  </si>
  <si>
    <t>566.10</t>
  </si>
  <si>
    <t>Specification Repro</t>
  </si>
  <si>
    <t>565.00</t>
  </si>
  <si>
    <t>Plan Review-Fire Marshal</t>
  </si>
  <si>
    <t>564.00</t>
  </si>
  <si>
    <t>563.00</t>
  </si>
  <si>
    <t>562.00</t>
  </si>
  <si>
    <t>561.10</t>
  </si>
  <si>
    <t>Reproductions/Printing</t>
  </si>
  <si>
    <t>561.00</t>
  </si>
  <si>
    <t>547.00</t>
  </si>
  <si>
    <t>546.00</t>
  </si>
  <si>
    <t>545.10</t>
  </si>
  <si>
    <t>545.00</t>
  </si>
  <si>
    <t>544.00</t>
  </si>
  <si>
    <t>Commercial Air Travel-Airport Parking</t>
  </si>
  <si>
    <t>543.10</t>
  </si>
  <si>
    <t>543.00</t>
  </si>
  <si>
    <t>Meals-Reimbursable</t>
  </si>
  <si>
    <t>542.00</t>
  </si>
  <si>
    <t>541.00</t>
  </si>
  <si>
    <t>Total consultants</t>
  </si>
  <si>
    <t>519.10</t>
  </si>
  <si>
    <t>519.00</t>
  </si>
  <si>
    <t>518.00</t>
  </si>
  <si>
    <t>517.00</t>
  </si>
  <si>
    <t>516.00</t>
  </si>
  <si>
    <t>515.50</t>
  </si>
  <si>
    <t>Civil Geotechnical</t>
  </si>
  <si>
    <t>515.10</t>
  </si>
  <si>
    <t>515.00</t>
  </si>
  <si>
    <t>514.00</t>
  </si>
  <si>
    <t>513.00</t>
  </si>
  <si>
    <t>512.00</t>
  </si>
  <si>
    <t>511.00</t>
  </si>
  <si>
    <t>Consultants</t>
  </si>
  <si>
    <t>Reimbursable expense</t>
  </si>
  <si>
    <t>402.00</t>
  </si>
  <si>
    <t>Total reimbursable expense revenue</t>
  </si>
  <si>
    <t>Reimb Other</t>
  </si>
  <si>
    <t>422.00</t>
  </si>
  <si>
    <t>Reimb Consultant</t>
  </si>
  <si>
    <t>421.00</t>
  </si>
  <si>
    <t>Reimbursable expense revenue:</t>
  </si>
  <si>
    <t>Total Billed Fee</t>
  </si>
  <si>
    <t>Billed Fee-Extra Service</t>
  </si>
  <si>
    <t>401.30</t>
  </si>
  <si>
    <t>Billed Fee-DPE/Hourly</t>
  </si>
  <si>
    <t>401.20</t>
  </si>
  <si>
    <t>Billed Fee-Lump Sum</t>
  </si>
  <si>
    <t>401.10</t>
  </si>
  <si>
    <t>Revenue:</t>
  </si>
  <si>
    <t>Subtotal</t>
  </si>
  <si>
    <t>Name</t>
  </si>
  <si>
    <t>Acct.#</t>
  </si>
  <si>
    <t xml:space="preserve">of </t>
  </si>
  <si>
    <t>Prior Yr</t>
  </si>
  <si>
    <t xml:space="preserve">Monthly </t>
  </si>
  <si>
    <t>Ref</t>
  </si>
  <si>
    <t>For the Fiscal Year Ending</t>
  </si>
  <si>
    <t>Annual Profit Plan</t>
  </si>
  <si>
    <t>Technical Staff</t>
  </si>
  <si>
    <t>Administrative</t>
  </si>
  <si>
    <t>Employee</t>
  </si>
  <si>
    <t>Principal</t>
  </si>
  <si>
    <t>Project Architect</t>
  </si>
  <si>
    <t>Senior Technical Staff</t>
  </si>
  <si>
    <t>CA-Architectural</t>
  </si>
  <si>
    <t>PTO</t>
  </si>
  <si>
    <t>Rate</t>
  </si>
  <si>
    <t>Bonus</t>
  </si>
  <si>
    <t>Contrib</t>
  </si>
  <si>
    <t>Disability</t>
  </si>
  <si>
    <t>Ins</t>
  </si>
  <si>
    <t>Comp</t>
  </si>
  <si>
    <t>Unemp</t>
  </si>
  <si>
    <t>&amp;MC</t>
  </si>
  <si>
    <t>Medicare</t>
  </si>
  <si>
    <t>FICA</t>
  </si>
  <si>
    <t>Less PTO</t>
  </si>
  <si>
    <t>Personal</t>
  </si>
  <si>
    <t>Vacation</t>
  </si>
  <si>
    <t>Holiday</t>
  </si>
  <si>
    <t>Wages</t>
  </si>
  <si>
    <t>Raises</t>
  </si>
  <si>
    <t>Wage</t>
  </si>
  <si>
    <t>Labor Hrs</t>
  </si>
  <si>
    <t>Available</t>
  </si>
  <si>
    <t>NonTech</t>
  </si>
  <si>
    <t>Indirect</t>
  </si>
  <si>
    <t>Tech</t>
  </si>
  <si>
    <t>Withheld</t>
  </si>
  <si>
    <t xml:space="preserve"> Health_Ins</t>
  </si>
  <si>
    <t>WComp</t>
  </si>
  <si>
    <t>Utilization</t>
  </si>
  <si>
    <t>Type</t>
  </si>
  <si>
    <t>Base</t>
  </si>
  <si>
    <t>Labor Category</t>
  </si>
  <si>
    <t>Sort</t>
  </si>
  <si>
    <t>Number</t>
  </si>
  <si>
    <t>Indir</t>
  </si>
  <si>
    <t>Cash</t>
  </si>
  <si>
    <t>Term</t>
  </si>
  <si>
    <t>Health</t>
  </si>
  <si>
    <t>Workers</t>
  </si>
  <si>
    <t>State</t>
  </si>
  <si>
    <t>Fed</t>
  </si>
  <si>
    <t xml:space="preserve"> </t>
  </si>
  <si>
    <t xml:space="preserve">Direct </t>
  </si>
  <si>
    <t>less</t>
  </si>
  <si>
    <t>401K</t>
  </si>
  <si>
    <t>Ins.</t>
  </si>
  <si>
    <t>Pay</t>
  </si>
  <si>
    <t>Retirement</t>
  </si>
  <si>
    <t>Long</t>
  </si>
  <si>
    <t>Emp.</t>
  </si>
  <si>
    <t xml:space="preserve">  </t>
  </si>
  <si>
    <t>Hourly</t>
  </si>
  <si>
    <t>1=Tech</t>
  </si>
  <si>
    <t>0=NonTech</t>
  </si>
  <si>
    <t>Fiscal Year Ending</t>
  </si>
  <si>
    <t>Operating Profit Target</t>
  </si>
  <si>
    <t>Total other nonoperating revenue</t>
  </si>
  <si>
    <t>Recovery of bad debt write-off</t>
  </si>
  <si>
    <t>Sale of assets-gain or (loss)</t>
  </si>
  <si>
    <t>Cash Value-Life Insurance-net increase</t>
  </si>
  <si>
    <t>811.20</t>
  </si>
  <si>
    <t>Interest income</t>
  </si>
  <si>
    <t>Less: Other Nonoperating Revenue</t>
  </si>
  <si>
    <t>Total Profit</t>
  </si>
  <si>
    <t>Provision for federal and state income tax</t>
  </si>
  <si>
    <t>*LB-Retirement plan contribution</t>
  </si>
  <si>
    <t>*LB-Bonus FICA tax</t>
  </si>
  <si>
    <t>*LB-Cash bonus</t>
  </si>
  <si>
    <t>Dividend</t>
  </si>
  <si>
    <t>Shares</t>
  </si>
  <si>
    <t>Share</t>
  </si>
  <si>
    <t>Amount</t>
  </si>
  <si>
    <t>No.</t>
  </si>
  <si>
    <t>Acct</t>
  </si>
  <si>
    <t>Raw labor</t>
  </si>
  <si>
    <t>Benefits factor</t>
  </si>
  <si>
    <t>Computation of DPE Benefits Factor</t>
  </si>
  <si>
    <t>Total customary benefits</t>
  </si>
  <si>
    <t>Cellular Phones</t>
  </si>
  <si>
    <t>Retirement plan contribution</t>
  </si>
  <si>
    <t>Disability ins.</t>
  </si>
  <si>
    <t>Health care ins.</t>
  </si>
  <si>
    <t>Customary benefits:</t>
  </si>
  <si>
    <t>Total mandatory benefits</t>
  </si>
  <si>
    <t>Workers' compensation ins.</t>
  </si>
  <si>
    <t>State unemployment tax</t>
  </si>
  <si>
    <t>Federal unemployment tax</t>
  </si>
  <si>
    <t>Fica &amp; MC tax on bonus</t>
  </si>
  <si>
    <t>Mandatory benefits:</t>
  </si>
  <si>
    <t>Total wages for hours worked</t>
  </si>
  <si>
    <t>Profit sharing plan</t>
  </si>
  <si>
    <t>Cash bonus</t>
  </si>
  <si>
    <t>Net wages for hours worked</t>
  </si>
  <si>
    <t>Personal Time-off</t>
  </si>
  <si>
    <t>Vacation Pay</t>
  </si>
  <si>
    <t>Holiday Pay</t>
  </si>
  <si>
    <t>Less Paid-time-off benefits:</t>
  </si>
  <si>
    <t>Total wages</t>
  </si>
  <si>
    <t>Computation of Benefits Factor for Multiple of Direct Personnel Expense</t>
  </si>
  <si>
    <t>Other reimbursable  expense multiple</t>
  </si>
  <si>
    <t>Reimbursable consultant multiple</t>
  </si>
  <si>
    <t>Value</t>
  </si>
  <si>
    <t>Mark-up</t>
  </si>
  <si>
    <t>Formula Variables:  (value must be 1.00 or more)</t>
  </si>
  <si>
    <t>Medicare rate</t>
  </si>
  <si>
    <t>Medicare wages</t>
  </si>
  <si>
    <t>Fica rate</t>
  </si>
  <si>
    <t>Fica wages</t>
  </si>
  <si>
    <t>No. months raise effective</t>
  </si>
  <si>
    <t>Annual raise percentage</t>
  </si>
  <si>
    <t>Retirement plan contribution percent of base pay</t>
  </si>
  <si>
    <t>Bonus percent of base pay</t>
  </si>
  <si>
    <t>Disability insurance premium per $1,000</t>
  </si>
  <si>
    <t>State unemployment amount</t>
  </si>
  <si>
    <t>State unemployment rate</t>
  </si>
  <si>
    <t>Federal unemployment amount</t>
  </si>
  <si>
    <t>Federal unemployment rate</t>
  </si>
  <si>
    <t>Formula Variables:</t>
  </si>
  <si>
    <t>No. Employees</t>
  </si>
  <si>
    <t>Net Profit from Operations</t>
  </si>
  <si>
    <t>Total Employee Compensation</t>
  </si>
  <si>
    <t>Profit Sharing</t>
  </si>
  <si>
    <t>Salaries &amp; Wages</t>
  </si>
  <si>
    <t>Pass-Through Revenue</t>
  </si>
  <si>
    <t>Payroll taxes per employee</t>
  </si>
  <si>
    <t>Payroll taxes as a percentage of gross revinue</t>
  </si>
  <si>
    <t>Payroll taxes as a percentage of net service revenue</t>
  </si>
  <si>
    <t>Payroll trases as a percentage of total costs</t>
  </si>
  <si>
    <t>Payroll taxes as a percentage of total labor</t>
  </si>
  <si>
    <t>Payroll taxes</t>
  </si>
  <si>
    <t>Personnel Costs</t>
  </si>
  <si>
    <t>Target multiplier</t>
  </si>
  <si>
    <t>Chargability</t>
  </si>
  <si>
    <t>Breakeven multiplier</t>
  </si>
  <si>
    <t>Overhead rate (including bonuses)</t>
  </si>
  <si>
    <t>Overhead rate (excluding bonuses)</t>
  </si>
  <si>
    <t>Contribution rate (gross profit margin)</t>
  </si>
  <si>
    <t>Net pre-tax, pre-bonus profit/loss per professional/technical staff</t>
  </si>
  <si>
    <t>Net pre-tax, pre-bonus profit/loss per total staff</t>
  </si>
  <si>
    <t>Net service revenue per professional/technicalstaff</t>
  </si>
  <si>
    <t>Net service revenue per total staff</t>
  </si>
  <si>
    <t>Net pre-tax, pre-bonus profit/loss on gross revenue</t>
  </si>
  <si>
    <t>Key financial statistics (medians)</t>
  </si>
  <si>
    <t>Average Unbilled Services</t>
  </si>
  <si>
    <t>Average Days Revenue</t>
  </si>
  <si>
    <t>Average Accounts Receivable</t>
  </si>
  <si>
    <t>Overhead Rate</t>
  </si>
  <si>
    <t>Utilization Rate $</t>
  </si>
  <si>
    <t>Benefits % of Net Revenue</t>
  </si>
  <si>
    <t>Indirect Labor % of Net Revenue</t>
  </si>
  <si>
    <t>Indirect Labor % of Indirect Expense</t>
  </si>
  <si>
    <t>Total Indirect Labor</t>
  </si>
  <si>
    <t>Total Indirect Expense</t>
  </si>
  <si>
    <t>Average Salary per  FTE</t>
  </si>
  <si>
    <t>Distribution per FTE</t>
  </si>
  <si>
    <t>Per FTE</t>
  </si>
  <si>
    <t>Net pre-tax, after bonus proft on Gross Revenue</t>
  </si>
  <si>
    <t>Net pre-tax, pre-bonus profit on Gross Revenue</t>
  </si>
  <si>
    <t>Percentage of Gross Revenue</t>
  </si>
  <si>
    <t>Tax % taxable income</t>
  </si>
  <si>
    <t>Profit distribution % Operating profit</t>
  </si>
  <si>
    <t>Profit distribution % Labor</t>
  </si>
  <si>
    <t>Profit after tax % net revenue</t>
  </si>
  <si>
    <t>Proift distribution % net revenue</t>
  </si>
  <si>
    <t>Profit after bonus, pre-tax</t>
  </si>
  <si>
    <t>Operating profit % net revenue</t>
  </si>
  <si>
    <t>Labor, benefits, distribution % net revenue</t>
  </si>
  <si>
    <t>Labor+benefits % net revenue</t>
  </si>
  <si>
    <t>Non-labor expense % net revenue</t>
  </si>
  <si>
    <t>Percentage of Net Revenue</t>
  </si>
  <si>
    <t>Labor,benetfts+ distribution % total expense+distribution</t>
  </si>
  <si>
    <t>Non-labor expense % total expense</t>
  </si>
  <si>
    <t>Labor+benefits % total expense</t>
  </si>
  <si>
    <t>Labor percentage of total expense</t>
  </si>
  <si>
    <t>Percentage of Total Expense</t>
  </si>
  <si>
    <t>FTE % Change</t>
  </si>
  <si>
    <t>FTE Change</t>
  </si>
  <si>
    <t>Equity per Staff</t>
  </si>
  <si>
    <t>Equity</t>
  </si>
  <si>
    <t>Profit after tax</t>
  </si>
  <si>
    <t>Income Tax</t>
  </si>
  <si>
    <t>Total profit before tax</t>
  </si>
  <si>
    <t>Other revenue</t>
  </si>
  <si>
    <t>Net Profit after distribution</t>
  </si>
  <si>
    <t>Profit distribution (including payroll tax)</t>
  </si>
  <si>
    <t>Retirement Plan Contribution</t>
  </si>
  <si>
    <t>Cash Bonus</t>
  </si>
  <si>
    <t>Net pre-tax, pre-bonus profit/loss</t>
  </si>
  <si>
    <t>Total costs</t>
  </si>
  <si>
    <t>Other expense (non-labor related)</t>
  </si>
  <si>
    <t>Labor-related expense and benefits</t>
  </si>
  <si>
    <t>Net Service Revenue</t>
  </si>
  <si>
    <t>Gross Revenue</t>
  </si>
  <si>
    <t>Revenue Factor-Target</t>
  </si>
  <si>
    <t>Revenue Factor-Effective</t>
  </si>
  <si>
    <t>Ave. Direct Hours/Tech-FTE</t>
  </si>
  <si>
    <t>Ave. Direct Hours/FTE</t>
  </si>
  <si>
    <t>Utilization Rate-Tech Only Hours</t>
  </si>
  <si>
    <t>Utilization Rate-Firmwide Dollars</t>
  </si>
  <si>
    <t>Average Billing Rate</t>
  </si>
  <si>
    <t>Average Direct Labor Rate</t>
  </si>
  <si>
    <t>Total Revenue % of Net Revenue</t>
  </si>
  <si>
    <t>Total Revenue % Change</t>
  </si>
  <si>
    <t>Total Revenue Change</t>
  </si>
  <si>
    <t>Absolute Values</t>
  </si>
  <si>
    <t>Average Annual Salary</t>
  </si>
  <si>
    <t>Total labor-over/(under)</t>
  </si>
  <si>
    <t>Net revenue-over/(under)</t>
  </si>
  <si>
    <t>Net Revenue-Calculated</t>
  </si>
  <si>
    <t>Total Labor-Calculated</t>
  </si>
  <si>
    <t>Total labor-Actual</t>
  </si>
  <si>
    <t>Net revenue-Actual</t>
  </si>
  <si>
    <t>Revenue factor-Actual</t>
  </si>
  <si>
    <t>Revenue factor target</t>
  </si>
  <si>
    <t>over/(under)</t>
  </si>
  <si>
    <t>Summary Recap</t>
  </si>
  <si>
    <t>Firm-wide hours less paid-time-off</t>
  </si>
  <si>
    <t>Firm-wide dollars less paid-time-off</t>
  </si>
  <si>
    <t>Ratio: Technical/NonTechnical Hours</t>
  </si>
  <si>
    <t>NonTechnical overtime</t>
  </si>
  <si>
    <t>NonTechnical regular</t>
  </si>
  <si>
    <t>Technical-overtime</t>
  </si>
  <si>
    <t>Technical-regular</t>
  </si>
  <si>
    <t>Non-technical</t>
  </si>
  <si>
    <t>Analysis of Operations</t>
  </si>
  <si>
    <t>Average Collection Period-(Days)</t>
  </si>
  <si>
    <t xml:space="preserve">Over 90 </t>
  </si>
  <si>
    <t>Maintenance Contract</t>
  </si>
  <si>
    <t>787.00</t>
  </si>
  <si>
    <t>781.00</t>
  </si>
  <si>
    <t>Depreciation-Software</t>
  </si>
  <si>
    <t>Depreciation-Computer Equipment</t>
  </si>
  <si>
    <t>Depreciation-Leasehold Improvements</t>
  </si>
  <si>
    <t>Depreciation-Furn &amp; Fixtures</t>
  </si>
  <si>
    <t>Professional Services-Business Planning</t>
  </si>
  <si>
    <t>*LB-Cell Phone</t>
  </si>
  <si>
    <t>*LB-Pension Plan Contribution</t>
  </si>
  <si>
    <t xml:space="preserve">*LB-Disability Income Ins. </t>
  </si>
  <si>
    <t>Health Care Insurance Withheld</t>
  </si>
  <si>
    <t xml:space="preserve">*LB-Health Care Insurance </t>
  </si>
  <si>
    <t>*LB-Workers' Comp Insurance</t>
  </si>
  <si>
    <t>*LB-State Unemployment</t>
  </si>
  <si>
    <t>*LB-Federal Unemployment</t>
  </si>
  <si>
    <t>*LB-Employer's Medicare Tax</t>
  </si>
  <si>
    <t>*LB-Employer's FICA Tax</t>
  </si>
  <si>
    <t>*LB-Personal Time-Off</t>
  </si>
  <si>
    <t>*LB-Vacation Pay</t>
  </si>
  <si>
    <t>*LB-Holiday Pay</t>
  </si>
  <si>
    <t>*LB-Indirect Labor-Nontech.</t>
  </si>
  <si>
    <t>*LB-Indirect Labor-Technical</t>
  </si>
  <si>
    <t>LB-Indirect Labor-Marketing</t>
  </si>
  <si>
    <t>*LB-Indirect Labor-Principals</t>
  </si>
  <si>
    <t>*LB-Direct Labor-Employees</t>
  </si>
  <si>
    <t>*LB-Direct Labor-Principals</t>
  </si>
  <si>
    <t>667.00</t>
  </si>
  <si>
    <t>411.00</t>
  </si>
  <si>
    <t>Prior Year</t>
  </si>
  <si>
    <t>Survey</t>
  </si>
  <si>
    <t>from</t>
  </si>
  <si>
    <t>Performance</t>
  </si>
  <si>
    <t>Financial</t>
  </si>
  <si>
    <t>ZweigWhite</t>
  </si>
  <si>
    <t>Prior Years' Actual and Current Year-to-Date vs Plan Year</t>
  </si>
  <si>
    <t>Total Federal and State Income Tax Provision</t>
  </si>
  <si>
    <t>State Income Tax Provision</t>
  </si>
  <si>
    <t>Excess over</t>
  </si>
  <si>
    <t>Next</t>
  </si>
  <si>
    <t>First</t>
  </si>
  <si>
    <t>Tax</t>
  </si>
  <si>
    <t>Income</t>
  </si>
  <si>
    <t>State Income Tax Calculation</t>
  </si>
  <si>
    <t>Taxable</t>
  </si>
  <si>
    <t>State Taxable Income</t>
  </si>
  <si>
    <t>Deduct: Federal Income Tax</t>
  </si>
  <si>
    <t>Net Income Before Federal Income Tax Decuction</t>
  </si>
  <si>
    <t>Add: State Income Tax Deducted of Federal Return</t>
  </si>
  <si>
    <t>Federal Taxable Income</t>
  </si>
  <si>
    <t>Computation of State Income Tax Provision</t>
  </si>
  <si>
    <t>Federal Income Tax Provision</t>
  </si>
  <si>
    <t>Federal Income Tax Rate</t>
  </si>
  <si>
    <t>State Tax Deposits Paid this Year</t>
  </si>
  <si>
    <t>Balance of Prior Years State Tax Paid</t>
  </si>
  <si>
    <t>Less - State income tax deduction:</t>
  </si>
  <si>
    <t>Computation of Federal Income Tax Provision:</t>
  </si>
  <si>
    <t>Firm Average</t>
  </si>
  <si>
    <t>Labor Rate</t>
  </si>
  <si>
    <t>Summary</t>
  </si>
  <si>
    <t>Ave Bill</t>
  </si>
  <si>
    <t>Ave DPE</t>
  </si>
  <si>
    <t>Ave Dir</t>
  </si>
  <si>
    <t>Average</t>
  </si>
  <si>
    <t>Pct Dir</t>
  </si>
  <si>
    <t>Cash balance-plan</t>
  </si>
  <si>
    <t>Beginning cash balance</t>
  </si>
  <si>
    <t>Net cash increase/-decrease</t>
  </si>
  <si>
    <t>Total decreases</t>
  </si>
  <si>
    <t>Equipment purchase (depreciation)</t>
  </si>
  <si>
    <t>Dividend/Principals bonus</t>
  </si>
  <si>
    <t xml:space="preserve">State Income Tax </t>
  </si>
  <si>
    <t>Corp. income tax deposits</t>
  </si>
  <si>
    <t>Bonus payroll tax expense</t>
  </si>
  <si>
    <t>Decreases</t>
  </si>
  <si>
    <t>Total increases</t>
  </si>
  <si>
    <t>Hold Deposits-decrease in Accts. Rec.</t>
  </si>
  <si>
    <t>Depreciation</t>
  </si>
  <si>
    <t>Increases</t>
  </si>
  <si>
    <t xml:space="preserve">Total </t>
  </si>
  <si>
    <t>Item</t>
  </si>
  <si>
    <t>Begin</t>
  </si>
  <si>
    <t>TBS-Vision Hosting Fee</t>
  </si>
  <si>
    <t>795.42</t>
  </si>
  <si>
    <t>Network Support-Net-Tech</t>
  </si>
  <si>
    <t>Plan2012</t>
  </si>
  <si>
    <t>Other reimbursable Travel</t>
  </si>
  <si>
    <t>Total Reimbursable Travel</t>
  </si>
  <si>
    <t>Other Reimbursable Office Expense</t>
  </si>
  <si>
    <t>Total Other Reimbursable Offiexe</t>
  </si>
  <si>
    <t>Other Direct Travel</t>
  </si>
  <si>
    <t>Total Other Direct Travel</t>
  </si>
  <si>
    <t>OTher Direct Office Expense</t>
  </si>
  <si>
    <t>Total Other Direct Office Expense</t>
  </si>
  <si>
    <t>Total Indirect Travel</t>
  </si>
  <si>
    <t>Indirect Travel Expense</t>
  </si>
  <si>
    <t>Other Indirect Expense</t>
  </si>
  <si>
    <t>Total Other Indirect Expense</t>
  </si>
  <si>
    <t>Indirect Office Expense</t>
  </si>
  <si>
    <t>Total Indirect Office Expense</t>
  </si>
  <si>
    <t>Depreciation &amp; Amortization</t>
  </si>
  <si>
    <t>Total Depreciation &amp; Amortization</t>
  </si>
  <si>
    <t>Marketing Expense</t>
  </si>
  <si>
    <t>Total Marketing Expense</t>
  </si>
  <si>
    <t>Computer and Network Expense</t>
  </si>
  <si>
    <t>Total Computer &amp; Network Expense</t>
  </si>
  <si>
    <t>Increase/(Decrease) in net worth</t>
  </si>
  <si>
    <t>per</t>
  </si>
  <si>
    <t>Day</t>
  </si>
  <si>
    <t>Week</t>
  </si>
  <si>
    <t>Standard</t>
  </si>
  <si>
    <t>Salary</t>
  </si>
  <si>
    <t>Non-Tech</t>
  </si>
  <si>
    <t>Cell</t>
  </si>
  <si>
    <t>Phone</t>
  </si>
  <si>
    <t>DPE Billing Rate</t>
  </si>
  <si>
    <t>Billing Rate</t>
  </si>
  <si>
    <t>Multiplier</t>
  </si>
  <si>
    <t>Capacity</t>
  </si>
  <si>
    <t>Time Analysis 2012</t>
  </si>
  <si>
    <t>Net Revenue Plan Variance</t>
  </si>
  <si>
    <t>Net Revenue Required-Plan</t>
  </si>
  <si>
    <t>Net Revenue Capacity-Vision</t>
  </si>
  <si>
    <t>2012 YTD</t>
  </si>
  <si>
    <t>Total Standard Hours</t>
  </si>
  <si>
    <t>*LB=from Labor Budget Tab</t>
  </si>
  <si>
    <t>Health Ins</t>
  </si>
  <si>
    <t>Withholding</t>
  </si>
  <si>
    <t>Health Care Ins. Withheld</t>
  </si>
  <si>
    <t>Direct Labor Hours</t>
  </si>
  <si>
    <t>Aplus.net Server Lease</t>
  </si>
  <si>
    <t>Profit Plan</t>
  </si>
  <si>
    <t>For the Year Ending</t>
  </si>
  <si>
    <t>Plan Rates and Multipliers</t>
  </si>
  <si>
    <t>Formula Variables</t>
  </si>
  <si>
    <t>Profit Target</t>
  </si>
  <si>
    <t>Labor Budget</t>
  </si>
  <si>
    <t>Plan Analysis</t>
  </si>
  <si>
    <t>Labor Summary</t>
  </si>
  <si>
    <t>Multiple of Direct Personnel Expense</t>
  </si>
  <si>
    <t>Prior Year's Key Indicators of Financial Performance</t>
  </si>
  <si>
    <t>Cash Flow Plan</t>
  </si>
  <si>
    <t>Provision for Income Tax</t>
  </si>
  <si>
    <t>Page</t>
  </si>
  <si>
    <t>Sept</t>
  </si>
  <si>
    <t>Fiscal Year Ending December 31, 2012</t>
  </si>
  <si>
    <t>December 31, 2012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</si>
  <si>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</si>
  <si>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</si>
  <si>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</si>
  <si>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</si>
  <si>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</si>
  <si>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</si>
  <si>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</si>
  <si>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</si>
  <si>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</si>
  <si>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</si>
  <si>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</si>
  <si>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Utilities-Home Office</t>
  </si>
  <si>
    <t>Utilities-Statellite Office</t>
  </si>
  <si>
    <t>Telephone-Home Office</t>
  </si>
  <si>
    <t>Telephone-Satelite Office</t>
  </si>
  <si>
    <t>Office Supplies-Home Office</t>
  </si>
  <si>
    <t>Office Supplies-Satelite Office</t>
  </si>
  <si>
    <t>Unused</t>
  </si>
  <si>
    <t>Training Room Rent</t>
  </si>
  <si>
    <t>Tr Room-Security System</t>
  </si>
  <si>
    <t>Training-Office Equipment</t>
  </si>
  <si>
    <t>Prof Liability Insurance</t>
  </si>
  <si>
    <t>Other Insurance</t>
  </si>
  <si>
    <t>Rent-Home Office</t>
  </si>
  <si>
    <t>Rent-Satelite Office</t>
  </si>
  <si>
    <t>Utilities-Satelite</t>
  </si>
  <si>
    <t>Telephone-Satelite</t>
  </si>
  <si>
    <t>Office Supplies-Satelite</t>
  </si>
  <si>
    <t>Depreciation-Other</t>
  </si>
  <si>
    <t>Computer Online-Home Office</t>
  </si>
  <si>
    <t>Computer Online Service-Satelite Office</t>
  </si>
  <si>
    <t>Online Service</t>
  </si>
  <si>
    <t>781</t>
  </si>
  <si>
    <t>Revenue and Profit</t>
  </si>
  <si>
    <t>Total Labor, Direct and Indirect Labor</t>
  </si>
  <si>
    <t>Overhead and Indirect Labor</t>
  </si>
  <si>
    <t>Full-Time-Equivalents (FTE)</t>
  </si>
  <si>
    <t>Net Revenue and Operating Profit per FTE</t>
  </si>
  <si>
    <t>Revenue Factor</t>
  </si>
  <si>
    <t>Utilization Rates</t>
  </si>
  <si>
    <t>Cash, Accounts Receivable &amp; Unbilled Service - Bar Chart</t>
  </si>
  <si>
    <t>Data Entry  Current Periods and Year-to-date</t>
  </si>
  <si>
    <t>Data Entry  - Prior Years</t>
  </si>
  <si>
    <t>Analysis of Operations Executive Summary - Table</t>
  </si>
  <si>
    <t>Graphic Charts of Key Indicators:</t>
  </si>
  <si>
    <t>Semi-</t>
  </si>
  <si>
    <t>14-17</t>
  </si>
  <si>
    <t>18-21</t>
  </si>
  <si>
    <t>22-25</t>
  </si>
  <si>
    <t>30-34</t>
  </si>
  <si>
    <t>35-42</t>
  </si>
  <si>
    <t>Company Name</t>
  </si>
  <si>
    <t>Address</t>
  </si>
  <si>
    <t>City, State Zip</t>
  </si>
  <si>
    <t>Tab-1</t>
  </si>
  <si>
    <t>Tab-2</t>
  </si>
  <si>
    <t>Tab-3</t>
  </si>
  <si>
    <t>Tab-4</t>
  </si>
  <si>
    <t>Tab-5</t>
  </si>
  <si>
    <t>Tab-6</t>
  </si>
  <si>
    <t>Tab-7</t>
  </si>
  <si>
    <t>Tab-8</t>
  </si>
  <si>
    <t>Tab-9</t>
  </si>
  <si>
    <t>Tab-10</t>
  </si>
  <si>
    <t>Tab-11</t>
  </si>
  <si>
    <t>Tab-12</t>
  </si>
  <si>
    <t>Tab-13</t>
  </si>
  <si>
    <t>Tab-14</t>
  </si>
  <si>
    <t>Tbb-15</t>
  </si>
  <si>
    <t>Tab-16</t>
  </si>
  <si>
    <t>Contents</t>
  </si>
  <si>
    <t>Tab-18</t>
  </si>
  <si>
    <t>Tab-19</t>
  </si>
  <si>
    <t>Tab-20</t>
  </si>
  <si>
    <t>Tab-21</t>
  </si>
  <si>
    <t>Tab-22</t>
  </si>
  <si>
    <t>Tab-23</t>
  </si>
  <si>
    <t>Tab-24</t>
  </si>
  <si>
    <t>Tab-25</t>
  </si>
  <si>
    <t>Tab-26</t>
  </si>
  <si>
    <t>Tab-27</t>
  </si>
  <si>
    <t>Tab-28</t>
  </si>
  <si>
    <t>Tab-29</t>
  </si>
  <si>
    <r>
      <t xml:space="preserve">Net pre-tax, </t>
    </r>
    <r>
      <rPr>
        <i/>
        <sz val="8"/>
        <rFont val="Arial"/>
        <family val="2"/>
      </rPr>
      <t>pre</t>
    </r>
    <r>
      <rPr>
        <sz val="8"/>
        <rFont val="Arial"/>
        <family val="2"/>
      </rPr>
      <t xml:space="preserve">-bonus profit/loss on </t>
    </r>
    <r>
      <rPr>
        <i/>
        <sz val="8"/>
        <rFont val="Arial"/>
        <family val="2"/>
      </rPr>
      <t>net service revenue</t>
    </r>
  </si>
  <si>
    <r>
      <t xml:space="preserve">Net </t>
    </r>
    <r>
      <rPr>
        <i/>
        <sz val="8"/>
        <rFont val="Arial"/>
        <family val="2"/>
      </rPr>
      <t>pre</t>
    </r>
    <r>
      <rPr>
        <sz val="8"/>
        <rFont val="Arial"/>
        <family val="2"/>
      </rPr>
      <t xml:space="preserve">-tax </t>
    </r>
    <r>
      <rPr>
        <i/>
        <sz val="8"/>
        <rFont val="Arial"/>
        <family val="2"/>
      </rPr>
      <t>after</t>
    </r>
    <r>
      <rPr>
        <sz val="8"/>
        <rFont val="Arial"/>
        <family val="2"/>
      </rPr>
      <t xml:space="preserve"> bonus profit/loss on </t>
    </r>
    <r>
      <rPr>
        <i/>
        <sz val="8"/>
        <rFont val="Arial"/>
        <family val="2"/>
      </rPr>
      <t>net service revenue</t>
    </r>
  </si>
  <si>
    <t>Input</t>
  </si>
  <si>
    <t>Linked Cell</t>
  </si>
  <si>
    <t>Direct Labor-Principals</t>
  </si>
  <si>
    <t>Direct Labor-Employees</t>
  </si>
  <si>
    <t>Indirect Labor-Principals</t>
  </si>
  <si>
    <t>Indirect Labor-Marketing</t>
  </si>
  <si>
    <t>Indirect Labor-Technical</t>
  </si>
  <si>
    <t>Indirect Labor-Nontech.</t>
  </si>
  <si>
    <t>Personal Time-Off</t>
  </si>
  <si>
    <t>Employer's FICA Tax</t>
  </si>
  <si>
    <t>Employer's Medicare Tax</t>
  </si>
  <si>
    <t>Federal Unemployment</t>
  </si>
  <si>
    <t>State Unemployment</t>
  </si>
  <si>
    <t>Workers' Comp Insurance</t>
  </si>
  <si>
    <t>Bonus Payroll Tax Exp.</t>
  </si>
  <si>
    <t>Retirement Plan Contrib.</t>
  </si>
  <si>
    <t>Dividend/Principals' Bonus</t>
  </si>
  <si>
    <t>Tab -17</t>
  </si>
  <si>
    <t>Contents:</t>
  </si>
  <si>
    <t>47-59</t>
  </si>
  <si>
    <t>Executive Summary Analysis of Operations</t>
  </si>
  <si>
    <t xml:space="preserve"> Linked  Data to</t>
  </si>
  <si>
    <t>Period 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</si>
</sst>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#,##0.0_);\(#,##0.0\)"/>
    <numFmt numFmtId="171" formatCode="0.000_)"/>
    <numFmt numFmtId="172" formatCode="mm/dd/yy"/>
    <numFmt numFmtId="173" formatCode="0.000%"/>
    <numFmt numFmtId="174" formatCode="0.00_);\(0.00\)"/>
    <numFmt numFmtId="175" formatCode="_(&quot;$&quot;* #,##0_);_(&quot;$&quot;* \(#,##0\);_(&quot;$&quot;* &quot;-&quot;??_);_(@_)"/>
    <numFmt numFmtId="176" formatCode="0.000_);\(0.000\)"/>
    <numFmt numFmtId="177" formatCode="0_);\(0\)"/>
    <numFmt numFmtId="178" formatCode="mm/dd/yy;@"/>
    <numFmt numFmtId="179" formatCode="m/d/yy;@"/>
    <numFmt numFmtId="180" formatCode="#,##0.000_);\(#,##0.000\)"/>
    <numFmt numFmtId="181" formatCode="[$-409]mmmm\ d\,\ yyyy;@"/>
    <numFmt numFmtId="182" formatCode="m/d/yyyy;@"/>
  </numFmts>
  <fonts count="42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8"/>
      <color indexed="12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Courier"/>
      <family val="3"/>
    </font>
    <font>
      <b/>
      <sz val="10"/>
      <color indexed="12"/>
      <name val="Arial"/>
      <family val="2"/>
    </font>
    <font>
      <sz val="10"/>
      <name val="Times New Roman"/>
      <family val="1"/>
    </font>
    <font>
      <b/>
      <sz val="10"/>
      <name val="Courier"/>
      <family val="3"/>
    </font>
    <font>
      <sz val="1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sz val="8"/>
      <color rgb="FF7030A0"/>
      <name val="Arial"/>
      <family val="2"/>
    </font>
    <font>
      <sz val="8"/>
      <color rgb="FFFA7D00"/>
      <name val="Arial"/>
      <family val="2"/>
    </font>
    <font>
      <sz val="10"/>
      <name val="Times New Roman"/>
      <family val="1"/>
      <scheme val="minor"/>
    </font>
    <font>
      <b/>
      <sz val="10"/>
      <name val="Times New Roman"/>
      <family val="1"/>
      <scheme val="minor"/>
    </font>
    <font>
      <sz val="14"/>
      <name val="Times New Roman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double">
        <color indexed="64"/>
      </top>
      <bottom style="double">
        <color indexed="64"/>
      </bottom>
      <diagonal/>
    </border>
    <border>
      <left/>
      <right style="thin">
        <color rgb="FF7F7F7F"/>
      </right>
      <top/>
      <bottom style="double">
        <color indexed="64"/>
      </bottom>
      <diagonal/>
    </border>
  </borders>
  <cellStyleXfs count="13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5" fillId="0" borderId="0" applyFill="0" applyBorder="0" applyAlignment="0" applyProtection="0"/>
    <xf numFmtId="37" fontId="8" fillId="0" borderId="0"/>
    <xf numFmtId="164" fontId="8" fillId="0" borderId="0"/>
    <xf numFmtId="43" fontId="2" fillId="0" borderId="0" applyFill="0" applyBorder="0" applyAlignment="0" applyProtection="0"/>
    <xf numFmtId="43" fontId="2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4" borderId="23" applyNumberFormat="0" applyAlignment="0" applyProtection="0"/>
    <xf numFmtId="0" fontId="34" fillId="0" borderId="24" applyNumberFormat="0" applyFill="0" applyAlignment="0" applyProtection="0"/>
  </cellStyleXfs>
  <cellXfs count="1084">
    <xf numFmtId="164" fontId="0" fillId="0" borderId="0" xfId="0"/>
    <xf numFmtId="9" fontId="4" fillId="0" borderId="0" xfId="4" applyFont="1" applyFill="1" applyBorder="1" applyProtection="1"/>
    <xf numFmtId="164" fontId="4" fillId="0" borderId="0" xfId="0" applyFont="1" applyFill="1"/>
    <xf numFmtId="169" fontId="4" fillId="0" borderId="0" xfId="8" applyNumberFormat="1" applyFont="1" applyFill="1" applyBorder="1"/>
    <xf numFmtId="164" fontId="0" fillId="0" borderId="0" xfId="0" applyBorder="1"/>
    <xf numFmtId="49" fontId="4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 applyProtection="1">
      <alignment horizontal="left"/>
    </xf>
    <xf numFmtId="164" fontId="3" fillId="0" borderId="0" xfId="0" quotePrefix="1" applyFont="1" applyFill="1" applyAlignment="1" applyProtection="1">
      <alignment horizontal="left"/>
    </xf>
    <xf numFmtId="166" fontId="4" fillId="0" borderId="0" xfId="0" applyNumberFormat="1" applyFont="1" applyFill="1"/>
    <xf numFmtId="169" fontId="4" fillId="0" borderId="0" xfId="8" applyNumberFormat="1" applyFont="1" applyFill="1"/>
    <xf numFmtId="164" fontId="4" fillId="0" borderId="0" xfId="0" applyNumberFormat="1" applyFont="1" applyFill="1"/>
    <xf numFmtId="164" fontId="4" fillId="0" borderId="0" xfId="0" applyFont="1" applyFill="1" applyAlignment="1">
      <alignment horizontal="centerContinuous"/>
    </xf>
    <xf numFmtId="164" fontId="11" fillId="0" borderId="0" xfId="0" applyFont="1" applyFill="1" applyBorder="1" applyAlignment="1" applyProtection="1">
      <alignment horizontal="right"/>
    </xf>
    <xf numFmtId="164" fontId="4" fillId="0" borderId="0" xfId="0" applyFont="1" applyFill="1" applyAlignment="1">
      <alignment horizontal="right"/>
    </xf>
    <xf numFmtId="164" fontId="4" fillId="0" borderId="0" xfId="0" applyFont="1" applyFill="1" applyBorder="1"/>
    <xf numFmtId="177" fontId="4" fillId="0" borderId="0" xfId="8" applyNumberFormat="1" applyFont="1" applyFill="1" applyAlignment="1" applyProtection="1">
      <alignment horizontal="left"/>
    </xf>
    <xf numFmtId="177" fontId="8" fillId="0" borderId="0" xfId="8" applyNumberFormat="1" applyFont="1" applyFill="1"/>
    <xf numFmtId="177" fontId="4" fillId="0" borderId="0" xfId="8" applyNumberFormat="1" applyFont="1" applyFill="1"/>
    <xf numFmtId="177" fontId="4" fillId="0" borderId="0" xfId="8" applyNumberFormat="1" applyFont="1" applyFill="1" applyProtection="1"/>
    <xf numFmtId="177" fontId="4" fillId="0" borderId="1" xfId="8" applyNumberFormat="1" applyFont="1" applyFill="1" applyBorder="1" applyAlignment="1" applyProtection="1">
      <alignment horizontal="left"/>
    </xf>
    <xf numFmtId="177" fontId="8" fillId="0" borderId="1" xfId="8" applyNumberFormat="1" applyFont="1" applyFill="1" applyBorder="1"/>
    <xf numFmtId="177" fontId="4" fillId="0" borderId="1" xfId="8" applyNumberFormat="1" applyFont="1" applyFill="1" applyBorder="1"/>
    <xf numFmtId="177" fontId="4" fillId="0" borderId="1" xfId="8" applyNumberFormat="1" applyFont="1" applyFill="1" applyBorder="1" applyProtection="1"/>
    <xf numFmtId="49" fontId="4" fillId="0" borderId="6" xfId="0" applyNumberFormat="1" applyFont="1" applyFill="1" applyBorder="1" applyAlignment="1" applyProtection="1">
      <alignment horizontal="right"/>
    </xf>
    <xf numFmtId="164" fontId="4" fillId="0" borderId="6" xfId="0" applyFont="1" applyFill="1" applyBorder="1" applyAlignment="1" applyProtection="1">
      <alignment horizontal="fill"/>
    </xf>
    <xf numFmtId="164" fontId="4" fillId="0" borderId="6" xfId="0" applyFont="1" applyFill="1" applyBorder="1" applyAlignment="1" applyProtection="1">
      <alignment horizontal="right"/>
    </xf>
    <xf numFmtId="166" fontId="4" fillId="0" borderId="6" xfId="0" applyNumberFormat="1" applyFont="1" applyFill="1" applyBorder="1" applyAlignment="1" applyProtection="1">
      <alignment horizontal="fill"/>
    </xf>
    <xf numFmtId="169" fontId="4" fillId="0" borderId="6" xfId="8" applyNumberFormat="1" applyFont="1" applyFill="1" applyBorder="1" applyAlignment="1" applyProtection="1">
      <alignment horizontal="fill"/>
    </xf>
    <xf numFmtId="164" fontId="4" fillId="0" borderId="6" xfId="0" applyNumberFormat="1" applyFont="1" applyFill="1" applyBorder="1" applyAlignment="1" applyProtection="1">
      <alignment horizontal="fill"/>
    </xf>
    <xf numFmtId="49" fontId="4" fillId="0" borderId="0" xfId="0" applyNumberFormat="1" applyFont="1" applyFill="1" applyBorder="1" applyAlignment="1" applyProtection="1">
      <alignment horizontal="right"/>
    </xf>
    <xf numFmtId="164" fontId="4" fillId="0" borderId="0" xfId="0" applyFont="1" applyFill="1" applyBorder="1" applyAlignment="1" applyProtection="1">
      <alignment horizontal="fill"/>
    </xf>
    <xf numFmtId="164" fontId="4" fillId="0" borderId="0" xfId="0" applyFont="1" applyFill="1" applyBorder="1" applyAlignment="1" applyProtection="1">
      <alignment horizontal="right"/>
    </xf>
    <xf numFmtId="166" fontId="4" fillId="0" borderId="0" xfId="0" applyNumberFormat="1" applyFont="1" applyFill="1" applyBorder="1" applyAlignment="1" applyProtection="1">
      <alignment horizontal="fill"/>
    </xf>
    <xf numFmtId="169" fontId="4" fillId="0" borderId="0" xfId="8" applyNumberFormat="1" applyFont="1" applyFill="1" applyBorder="1" applyAlignment="1" applyProtection="1">
      <alignment horizontal="fill"/>
    </xf>
    <xf numFmtId="164" fontId="4" fillId="0" borderId="0" xfId="0" applyNumberFormat="1" applyFont="1" applyFill="1" applyBorder="1" applyAlignment="1" applyProtection="1">
      <alignment horizontal="fill"/>
    </xf>
    <xf numFmtId="164" fontId="11" fillId="0" borderId="0" xfId="0" applyFont="1" applyFill="1" applyBorder="1" applyAlignment="1">
      <alignment horizontal="right"/>
    </xf>
    <xf numFmtId="166" fontId="4" fillId="0" borderId="0" xfId="0" applyNumberFormat="1" applyFont="1" applyFill="1" applyBorder="1" applyProtection="1"/>
    <xf numFmtId="177" fontId="4" fillId="0" borderId="0" xfId="8" applyNumberFormat="1" applyFont="1" applyFill="1" applyBorder="1" applyProtection="1"/>
    <xf numFmtId="164" fontId="11" fillId="0" borderId="0" xfId="0" quotePrefix="1" applyFont="1" applyFill="1" applyBorder="1" applyAlignment="1" applyProtection="1">
      <alignment horizontal="right"/>
    </xf>
    <xf numFmtId="169" fontId="4" fillId="0" borderId="0" xfId="9" applyNumberFormat="1" applyFont="1" applyFill="1" applyBorder="1" applyProtection="1"/>
    <xf numFmtId="169" fontId="4" fillId="0" borderId="0" xfId="9" applyNumberFormat="1" applyFont="1" applyFill="1"/>
    <xf numFmtId="169" fontId="4" fillId="0" borderId="0" xfId="9" applyNumberFormat="1" applyFont="1" applyFill="1" applyProtection="1"/>
    <xf numFmtId="169" fontId="4" fillId="0" borderId="1" xfId="9" applyNumberFormat="1" applyFont="1" applyFill="1" applyBorder="1" applyProtection="1"/>
    <xf numFmtId="169" fontId="4" fillId="0" borderId="6" xfId="9" applyNumberFormat="1" applyFont="1" applyFill="1" applyBorder="1" applyAlignment="1" applyProtection="1">
      <alignment horizontal="fill"/>
    </xf>
    <xf numFmtId="169" fontId="4" fillId="0" borderId="0" xfId="9" applyNumberFormat="1" applyFont="1" applyFill="1" applyBorder="1" applyAlignment="1" applyProtection="1">
      <alignment horizontal="fill"/>
    </xf>
    <xf numFmtId="9" fontId="4" fillId="0" borderId="0" xfId="4" applyFont="1" applyFill="1" applyProtection="1"/>
    <xf numFmtId="9" fontId="4" fillId="0" borderId="1" xfId="4" applyFont="1" applyFill="1" applyBorder="1" applyProtection="1"/>
    <xf numFmtId="49" fontId="4" fillId="0" borderId="0" xfId="0" applyNumberFormat="1" applyFont="1" applyFill="1" applyBorder="1" applyAlignment="1">
      <alignment horizontal="right"/>
    </xf>
    <xf numFmtId="43" fontId="11" fillId="0" borderId="0" xfId="8" applyNumberFormat="1" applyFont="1" applyFill="1" applyBorder="1" applyAlignment="1" applyProtection="1">
      <alignment horizontal="right"/>
    </xf>
    <xf numFmtId="166" fontId="4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centerContinuous"/>
    </xf>
    <xf numFmtId="164" fontId="10" fillId="0" borderId="0" xfId="0" applyFont="1" applyFill="1" applyBorder="1" applyAlignment="1">
      <alignment horizontal="centerContinuous"/>
    </xf>
    <xf numFmtId="166" fontId="10" fillId="0" borderId="0" xfId="0" applyNumberFormat="1" applyFont="1" applyFill="1" applyBorder="1" applyAlignment="1">
      <alignment horizontal="centerContinuous"/>
    </xf>
    <xf numFmtId="169" fontId="10" fillId="0" borderId="0" xfId="8" applyNumberFormat="1" applyFont="1" applyFill="1" applyBorder="1" applyAlignment="1">
      <alignment horizontal="centerContinuous"/>
    </xf>
    <xf numFmtId="169" fontId="10" fillId="0" borderId="0" xfId="9" applyNumberFormat="1" applyFont="1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/>
    </xf>
    <xf numFmtId="164" fontId="10" fillId="0" borderId="0" xfId="0" applyFont="1" applyFill="1" applyBorder="1"/>
    <xf numFmtId="164" fontId="11" fillId="0" borderId="0" xfId="0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>
      <alignment horizontal="right"/>
    </xf>
    <xf numFmtId="164" fontId="11" fillId="0" borderId="0" xfId="0" applyFont="1" applyFill="1" applyBorder="1"/>
    <xf numFmtId="43" fontId="11" fillId="0" borderId="0" xfId="8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 applyProtection="1">
      <alignment horizontal="right"/>
    </xf>
    <xf numFmtId="169" fontId="11" fillId="0" borderId="0" xfId="8" applyNumberFormat="1" applyFont="1" applyFill="1" applyBorder="1" applyAlignment="1" applyProtection="1">
      <alignment horizontal="right"/>
    </xf>
    <xf numFmtId="169" fontId="11" fillId="0" borderId="0" xfId="9" applyNumberFormat="1" applyFont="1" applyFill="1" applyBorder="1"/>
    <xf numFmtId="169" fontId="11" fillId="0" borderId="0" xfId="8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right"/>
    </xf>
    <xf numFmtId="169" fontId="11" fillId="0" borderId="0" xfId="9" applyNumberFormat="1" applyFont="1" applyFill="1" applyBorder="1" applyAlignment="1" applyProtection="1">
      <alignment horizontal="right"/>
    </xf>
    <xf numFmtId="177" fontId="4" fillId="0" borderId="0" xfId="8" applyNumberFormat="1" applyFont="1" applyFill="1" applyBorder="1" applyAlignment="1" applyProtection="1">
      <alignment horizontal="left"/>
    </xf>
    <xf numFmtId="177" fontId="8" fillId="0" borderId="0" xfId="8" applyNumberFormat="1" applyFont="1" applyFill="1" applyBorder="1"/>
    <xf numFmtId="177" fontId="4" fillId="0" borderId="0" xfId="8" applyNumberFormat="1" applyFont="1" applyFill="1" applyBorder="1"/>
    <xf numFmtId="49" fontId="4" fillId="0" borderId="1" xfId="0" applyNumberFormat="1" applyFont="1" applyFill="1" applyBorder="1" applyAlignment="1">
      <alignment horizontal="right"/>
    </xf>
    <xf numFmtId="164" fontId="4" fillId="0" borderId="1" xfId="0" applyFont="1" applyFill="1" applyBorder="1"/>
    <xf numFmtId="166" fontId="4" fillId="0" borderId="1" xfId="0" applyNumberFormat="1" applyFont="1" applyFill="1" applyBorder="1"/>
    <xf numFmtId="174" fontId="4" fillId="0" borderId="0" xfId="8" applyNumberFormat="1" applyFont="1" applyFill="1" applyBorder="1" applyProtection="1"/>
    <xf numFmtId="174" fontId="4" fillId="0" borderId="1" xfId="8" applyNumberFormat="1" applyFont="1" applyFill="1" applyBorder="1" applyProtection="1"/>
    <xf numFmtId="169" fontId="10" fillId="0" borderId="0" xfId="9" applyNumberFormat="1" applyFont="1" applyFill="1" applyBorder="1"/>
    <xf numFmtId="164" fontId="10" fillId="0" borderId="1" xfId="0" applyFont="1" applyFill="1" applyBorder="1"/>
    <xf numFmtId="164" fontId="24" fillId="0" borderId="0" xfId="0" applyFont="1" applyAlignment="1">
      <alignment horizontal="center"/>
    </xf>
    <xf numFmtId="164" fontId="0" fillId="0" borderId="11" xfId="0" applyBorder="1"/>
    <xf numFmtId="164" fontId="0" fillId="0" borderId="13" xfId="0" applyBorder="1"/>
    <xf numFmtId="164" fontId="25" fillId="0" borderId="0" xfId="0" applyFont="1" applyBorder="1"/>
    <xf numFmtId="164" fontId="0" fillId="0" borderId="15" xfId="0" applyBorder="1"/>
    <xf numFmtId="49" fontId="3" fillId="0" borderId="0" xfId="0" applyNumberFormat="1" applyFont="1" applyFill="1" applyAlignment="1" applyProtection="1">
      <alignment horizontal="left"/>
      <protection locked="0"/>
    </xf>
    <xf numFmtId="164" fontId="26" fillId="0" borderId="0" xfId="0" applyFont="1" applyBorder="1" applyAlignment="1">
      <alignment horizontal="center"/>
    </xf>
    <xf numFmtId="164" fontId="23" fillId="0" borderId="6" xfId="0" applyFont="1" applyBorder="1"/>
    <xf numFmtId="164" fontId="0" fillId="0" borderId="12" xfId="0" applyBorder="1"/>
    <xf numFmtId="164" fontId="0" fillId="0" borderId="14" xfId="0" applyBorder="1"/>
    <xf numFmtId="164" fontId="23" fillId="0" borderId="2" xfId="0" applyFont="1" applyBorder="1"/>
    <xf numFmtId="164" fontId="0" fillId="0" borderId="16" xfId="0" applyBorder="1"/>
    <xf numFmtId="164" fontId="28" fillId="0" borderId="0" xfId="0" applyFont="1" applyBorder="1" applyAlignment="1">
      <alignment horizontal="center"/>
    </xf>
    <xf numFmtId="174" fontId="4" fillId="0" borderId="0" xfId="8" applyNumberFormat="1" applyFont="1" applyFill="1" applyProtection="1"/>
    <xf numFmtId="164" fontId="4" fillId="0" borderId="10" xfId="0" applyFont="1" applyFill="1" applyBorder="1"/>
    <xf numFmtId="164" fontId="4" fillId="0" borderId="3" xfId="0" applyFont="1" applyFill="1" applyBorder="1"/>
    <xf numFmtId="10" fontId="9" fillId="0" borderId="0" xfId="0" applyNumberFormat="1" applyFont="1" applyFill="1" applyBorder="1" applyProtection="1">
      <protection locked="0"/>
    </xf>
    <xf numFmtId="169" fontId="11" fillId="0" borderId="0" xfId="8" applyNumberFormat="1" applyFont="1" applyFill="1" applyBorder="1"/>
    <xf numFmtId="43" fontId="11" fillId="0" borderId="0" xfId="8" applyNumberFormat="1" applyFont="1" applyFill="1" applyBorder="1"/>
    <xf numFmtId="43" fontId="11" fillId="0" borderId="0" xfId="7" applyNumberFormat="1" applyFont="1" applyFill="1" applyAlignment="1">
      <alignment horizontal="centerContinuous"/>
    </xf>
    <xf numFmtId="164" fontId="11" fillId="0" borderId="0" xfId="7" applyFont="1" applyFill="1" applyAlignment="1">
      <alignment horizontal="centerContinuous"/>
    </xf>
    <xf numFmtId="169" fontId="16" fillId="0" borderId="0" xfId="8" applyNumberFormat="1" applyFont="1" applyFill="1" applyBorder="1"/>
    <xf numFmtId="43" fontId="16" fillId="0" borderId="0" xfId="8" applyNumberFormat="1" applyFont="1" applyFill="1" applyBorder="1"/>
    <xf numFmtId="43" fontId="14" fillId="0" borderId="0" xfId="8" applyFont="1" applyFill="1" applyBorder="1" applyProtection="1">
      <protection locked="0"/>
    </xf>
    <xf numFmtId="169" fontId="11" fillId="0" borderId="0" xfId="8" applyNumberFormat="1" applyFont="1" applyFill="1"/>
    <xf numFmtId="43" fontId="14" fillId="0" borderId="0" xfId="4" applyNumberFormat="1" applyFont="1" applyFill="1" applyBorder="1" applyProtection="1">
      <protection locked="0"/>
    </xf>
    <xf numFmtId="164" fontId="22" fillId="0" borderId="0" xfId="0" applyFont="1"/>
    <xf numFmtId="164" fontId="27" fillId="0" borderId="0" xfId="0" applyFont="1"/>
    <xf numFmtId="164" fontId="27" fillId="0" borderId="11" xfId="0" applyFont="1" applyBorder="1"/>
    <xf numFmtId="164" fontId="27" fillId="0" borderId="6" xfId="0" applyFont="1" applyBorder="1"/>
    <xf numFmtId="164" fontId="27" fillId="0" borderId="12" xfId="0" applyFont="1" applyBorder="1"/>
    <xf numFmtId="164" fontId="27" fillId="0" borderId="13" xfId="0" applyFont="1" applyBorder="1"/>
    <xf numFmtId="43" fontId="27" fillId="0" borderId="0" xfId="8" applyFont="1" applyBorder="1"/>
    <xf numFmtId="164" fontId="27" fillId="0" borderId="0" xfId="0" applyFont="1" applyBorder="1"/>
    <xf numFmtId="164" fontId="27" fillId="0" borderId="14" xfId="0" applyFont="1" applyBorder="1"/>
    <xf numFmtId="164" fontId="30" fillId="0" borderId="0" xfId="0" applyFont="1" applyBorder="1"/>
    <xf numFmtId="164" fontId="30" fillId="0" borderId="0" xfId="0" applyFont="1" applyBorder="1" applyAlignment="1">
      <alignment horizontal="center"/>
    </xf>
    <xf numFmtId="164" fontId="27" fillId="0" borderId="0" xfId="0" applyFont="1" applyBorder="1" applyAlignment="1">
      <alignment horizontal="center"/>
    </xf>
    <xf numFmtId="164" fontId="27" fillId="0" borderId="15" xfId="0" applyFont="1" applyBorder="1"/>
    <xf numFmtId="164" fontId="27" fillId="0" borderId="2" xfId="0" applyFont="1" applyBorder="1"/>
    <xf numFmtId="164" fontId="27" fillId="0" borderId="16" xfId="0" applyFont="1" applyBorder="1"/>
    <xf numFmtId="169" fontId="4" fillId="0" borderId="1" xfId="9" applyNumberFormat="1" applyFont="1" applyFill="1" applyBorder="1"/>
    <xf numFmtId="164" fontId="4" fillId="0" borderId="0" xfId="0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centerContinuous"/>
    </xf>
    <xf numFmtId="171" fontId="2" fillId="0" borderId="0" xfId="0" applyNumberFormat="1" applyFont="1" applyFill="1" applyBorder="1" applyAlignment="1">
      <alignment horizontal="right"/>
    </xf>
    <xf numFmtId="1" fontId="4" fillId="0" borderId="0" xfId="9" applyNumberFormat="1" applyFont="1" applyFill="1" applyBorder="1" applyProtection="1"/>
    <xf numFmtId="1" fontId="4" fillId="0" borderId="1" xfId="9" applyNumberFormat="1" applyFont="1" applyFill="1" applyBorder="1" applyProtection="1"/>
    <xf numFmtId="1" fontId="4" fillId="0" borderId="0" xfId="9" applyNumberFormat="1" applyFont="1" applyFill="1" applyProtection="1"/>
    <xf numFmtId="164" fontId="27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31" fillId="0" borderId="0" xfId="0" applyFont="1" applyBorder="1" applyAlignment="1">
      <alignment horizontal="center"/>
    </xf>
    <xf numFmtId="164" fontId="0" fillId="0" borderId="17" xfId="0" applyBorder="1"/>
    <xf numFmtId="164" fontId="0" fillId="0" borderId="9" xfId="0" applyBorder="1"/>
    <xf numFmtId="164" fontId="0" fillId="0" borderId="18" xfId="0" applyBorder="1" applyAlignment="1">
      <alignment horizontal="left"/>
    </xf>
    <xf numFmtId="164" fontId="0" fillId="0" borderId="19" xfId="0" applyBorder="1"/>
    <xf numFmtId="164" fontId="27" fillId="0" borderId="20" xfId="0" applyFont="1" applyBorder="1" applyAlignment="1">
      <alignment horizontal="left"/>
    </xf>
    <xf numFmtId="164" fontId="0" fillId="0" borderId="20" xfId="0" applyBorder="1" applyAlignment="1">
      <alignment horizontal="left"/>
    </xf>
    <xf numFmtId="164" fontId="0" fillId="0" borderId="21" xfId="0" applyBorder="1"/>
    <xf numFmtId="164" fontId="0" fillId="0" borderId="1" xfId="0" applyBorder="1"/>
    <xf numFmtId="164" fontId="0" fillId="0" borderId="22" xfId="0" applyBorder="1" applyAlignment="1">
      <alignment horizontal="left"/>
    </xf>
    <xf numFmtId="181" fontId="25" fillId="0" borderId="0" xfId="0" applyNumberFormat="1" applyFont="1" applyAlignment="1">
      <alignment horizontal="center"/>
    </xf>
    <xf numFmtId="164" fontId="25" fillId="0" borderId="19" xfId="0" applyFont="1" applyBorder="1" applyAlignment="1">
      <alignment horizontal="center"/>
    </xf>
    <xf numFmtId="164" fontId="11" fillId="0" borderId="0" xfId="7" applyFont="1" applyFill="1"/>
    <xf numFmtId="164" fontId="16" fillId="0" borderId="0" xfId="7" applyFont="1" applyFill="1" applyAlignment="1" applyProtection="1">
      <alignment horizontal="centerContinuous"/>
    </xf>
    <xf numFmtId="43" fontId="11" fillId="0" borderId="0" xfId="7" applyNumberFormat="1" applyFont="1" applyFill="1"/>
    <xf numFmtId="164" fontId="14" fillId="0" borderId="0" xfId="7" applyFont="1" applyFill="1" applyAlignment="1" applyProtection="1">
      <alignment horizontal="centerContinuous"/>
      <protection locked="0"/>
    </xf>
    <xf numFmtId="43" fontId="11" fillId="0" borderId="0" xfId="7" applyNumberFormat="1" applyFont="1" applyFill="1" applyAlignment="1">
      <alignment horizontal="right"/>
    </xf>
    <xf numFmtId="164" fontId="16" fillId="0" borderId="0" xfId="7" applyFont="1" applyFill="1" applyAlignment="1">
      <alignment horizontal="right"/>
    </xf>
    <xf numFmtId="164" fontId="11" fillId="0" borderId="0" xfId="7" applyFont="1" applyFill="1" applyAlignment="1">
      <alignment horizontal="right"/>
    </xf>
    <xf numFmtId="164" fontId="16" fillId="0" borderId="0" xfId="7" applyFont="1" applyFill="1"/>
    <xf numFmtId="43" fontId="16" fillId="0" borderId="0" xfId="7" applyNumberFormat="1" applyFont="1" applyFill="1" applyAlignment="1" applyProtection="1">
      <alignment horizontal="right"/>
    </xf>
    <xf numFmtId="164" fontId="16" fillId="0" borderId="0" xfId="7" applyFont="1" applyFill="1" applyBorder="1" applyAlignment="1">
      <alignment horizontal="center"/>
    </xf>
    <xf numFmtId="43" fontId="16" fillId="0" borderId="0" xfId="7" applyNumberFormat="1" applyFont="1" applyFill="1" applyBorder="1" applyAlignment="1" applyProtection="1">
      <alignment horizontal="right"/>
    </xf>
    <xf numFmtId="164" fontId="16" fillId="0" borderId="0" xfId="7" applyFont="1" applyFill="1" applyBorder="1"/>
    <xf numFmtId="164" fontId="16" fillId="0" borderId="1" xfId="7" applyFont="1" applyFill="1" applyBorder="1" applyAlignment="1">
      <alignment horizontal="left"/>
    </xf>
    <xf numFmtId="43" fontId="11" fillId="0" borderId="1" xfId="7" applyNumberFormat="1" applyFont="1" applyFill="1" applyBorder="1"/>
    <xf numFmtId="164" fontId="11" fillId="0" borderId="0" xfId="7" applyFont="1" applyFill="1" applyBorder="1"/>
    <xf numFmtId="43" fontId="11" fillId="0" borderId="0" xfId="8" applyNumberFormat="1" applyFont="1" applyFill="1"/>
    <xf numFmtId="169" fontId="11" fillId="0" borderId="1" xfId="8" applyNumberFormat="1" applyFont="1" applyFill="1" applyBorder="1"/>
    <xf numFmtId="169" fontId="16" fillId="0" borderId="0" xfId="8" applyNumberFormat="1" applyFont="1" applyFill="1"/>
    <xf numFmtId="169" fontId="19" fillId="0" borderId="0" xfId="8" applyNumberFormat="1" applyFont="1" applyFill="1" applyBorder="1"/>
    <xf numFmtId="169" fontId="18" fillId="0" borderId="1" xfId="8" applyNumberFormat="1" applyFont="1" applyFill="1" applyBorder="1"/>
    <xf numFmtId="43" fontId="14" fillId="0" borderId="0" xfId="8" applyNumberFormat="1" applyFont="1" applyFill="1" applyBorder="1" applyProtection="1">
      <protection locked="0"/>
    </xf>
    <xf numFmtId="164" fontId="10" fillId="0" borderId="1" xfId="0" applyFont="1" applyFill="1" applyBorder="1" applyAlignment="1" applyProtection="1">
      <alignment horizontal="left"/>
    </xf>
    <xf numFmtId="164" fontId="4" fillId="0" borderId="0" xfId="0" applyFont="1" applyFill="1" applyBorder="1" applyAlignment="1" applyProtection="1">
      <alignment horizontal="left"/>
    </xf>
    <xf numFmtId="169" fontId="4" fillId="0" borderId="0" xfId="9" applyNumberFormat="1" applyFont="1" applyFill="1" applyBorder="1"/>
    <xf numFmtId="164" fontId="10" fillId="0" borderId="0" xfId="0" applyFont="1" applyFill="1" applyAlignment="1" applyProtection="1">
      <alignment horizontal="left"/>
    </xf>
    <xf numFmtId="164" fontId="4" fillId="0" borderId="0" xfId="0" applyFont="1" applyFill="1" applyAlignment="1" applyProtection="1">
      <alignment horizontal="left"/>
    </xf>
    <xf numFmtId="164" fontId="3" fillId="0" borderId="0" xfId="0" applyFont="1" applyFill="1" applyAlignment="1" applyProtection="1">
      <alignment horizontal="left"/>
    </xf>
    <xf numFmtId="169" fontId="9" fillId="0" borderId="0" xfId="9" applyNumberFormat="1" applyFont="1" applyFill="1" applyBorder="1" applyProtection="1">
      <protection locked="0"/>
    </xf>
    <xf numFmtId="164" fontId="3" fillId="0" borderId="2" xfId="0" applyFont="1" applyFill="1" applyBorder="1" applyAlignment="1" applyProtection="1">
      <alignment horizontal="left"/>
    </xf>
    <xf numFmtId="164" fontId="4" fillId="0" borderId="2" xfId="0" applyFont="1" applyFill="1" applyBorder="1"/>
    <xf numFmtId="169" fontId="4" fillId="0" borderId="2" xfId="9" applyNumberFormat="1" applyFont="1" applyFill="1" applyBorder="1"/>
    <xf numFmtId="169" fontId="9" fillId="0" borderId="0" xfId="9" applyNumberFormat="1" applyFont="1" applyFill="1" applyProtection="1">
      <protection locked="0"/>
    </xf>
    <xf numFmtId="164" fontId="3" fillId="0" borderId="0" xfId="0" applyFont="1" applyFill="1" applyBorder="1" applyAlignment="1" applyProtection="1">
      <alignment horizontal="left"/>
    </xf>
    <xf numFmtId="164" fontId="22" fillId="0" borderId="0" xfId="0" applyFont="1" applyFill="1"/>
    <xf numFmtId="164" fontId="4" fillId="0" borderId="9" xfId="0" applyFont="1" applyFill="1" applyBorder="1" applyAlignment="1" applyProtection="1">
      <alignment horizontal="fill"/>
    </xf>
    <xf numFmtId="169" fontId="4" fillId="0" borderId="9" xfId="9" applyNumberFormat="1" applyFont="1" applyFill="1" applyBorder="1" applyAlignment="1" applyProtection="1">
      <alignment horizontal="fill"/>
    </xf>
    <xf numFmtId="164" fontId="4" fillId="0" borderId="1" xfId="0" applyFont="1" applyFill="1" applyBorder="1" applyAlignment="1" applyProtection="1">
      <alignment horizontal="left"/>
    </xf>
    <xf numFmtId="169" fontId="3" fillId="0" borderId="0" xfId="9" applyNumberFormat="1" applyFont="1" applyFill="1" applyProtection="1"/>
    <xf numFmtId="164" fontId="10" fillId="0" borderId="0" xfId="0" applyFont="1" applyFill="1" applyAlignment="1" applyProtection="1">
      <alignment horizontal="right"/>
    </xf>
    <xf numFmtId="164" fontId="10" fillId="0" borderId="0" xfId="0" applyFont="1" applyFill="1"/>
    <xf numFmtId="164" fontId="10" fillId="0" borderId="1" xfId="0" applyFont="1" applyFill="1" applyBorder="1" applyAlignment="1" applyProtection="1">
      <alignment horizontal="right"/>
    </xf>
    <xf numFmtId="164" fontId="4" fillId="0" borderId="0" xfId="0" applyFont="1" applyFill="1" applyAlignment="1" applyProtection="1">
      <alignment horizontal="right"/>
    </xf>
    <xf numFmtId="39" fontId="9" fillId="0" borderId="0" xfId="0" applyNumberFormat="1" applyFont="1" applyFill="1" applyProtection="1">
      <protection locked="0"/>
    </xf>
    <xf numFmtId="164" fontId="4" fillId="0" borderId="1" xfId="0" applyFont="1" applyFill="1" applyBorder="1" applyAlignment="1" applyProtection="1">
      <alignment horizontal="right"/>
    </xf>
    <xf numFmtId="164" fontId="10" fillId="0" borderId="2" xfId="0" applyFont="1" applyFill="1" applyBorder="1" applyAlignment="1" applyProtection="1">
      <alignment horizontal="left"/>
    </xf>
    <xf numFmtId="169" fontId="9" fillId="0" borderId="2" xfId="9" applyNumberFormat="1" applyFont="1" applyFill="1" applyBorder="1" applyProtection="1">
      <protection locked="0"/>
    </xf>
    <xf numFmtId="164" fontId="10" fillId="0" borderId="0" xfId="0" applyFont="1" applyFill="1" applyBorder="1" applyAlignment="1" applyProtection="1">
      <alignment horizontal="left"/>
    </xf>
    <xf numFmtId="164" fontId="9" fillId="0" borderId="0" xfId="0" applyFont="1" applyFill="1" applyBorder="1" applyProtection="1">
      <protection locked="0"/>
    </xf>
    <xf numFmtId="164" fontId="0" fillId="0" borderId="0" xfId="0" applyFill="1" applyBorder="1"/>
    <xf numFmtId="9" fontId="4" fillId="0" borderId="0" xfId="4" applyFont="1" applyFill="1" applyBorder="1"/>
    <xf numFmtId="164" fontId="3" fillId="0" borderId="0" xfId="0" applyFont="1" applyFill="1" applyBorder="1"/>
    <xf numFmtId="37" fontId="16" fillId="0" borderId="0" xfId="6" applyFont="1" applyFill="1"/>
    <xf numFmtId="37" fontId="11" fillId="0" borderId="0" xfId="6" applyFont="1" applyFill="1"/>
    <xf numFmtId="49" fontId="11" fillId="0" borderId="0" xfId="6" applyNumberFormat="1" applyFont="1" applyFill="1"/>
    <xf numFmtId="37" fontId="16" fillId="0" borderId="0" xfId="6" applyFont="1" applyFill="1" applyAlignment="1" applyProtection="1">
      <alignment horizontal="right"/>
    </xf>
    <xf numFmtId="49" fontId="11" fillId="0" borderId="0" xfId="6" applyNumberFormat="1" applyFont="1" applyFill="1" applyBorder="1" applyAlignment="1" applyProtection="1"/>
    <xf numFmtId="37" fontId="11" fillId="0" borderId="0" xfId="6" applyFont="1" applyFill="1" applyBorder="1" applyAlignment="1" applyProtection="1">
      <alignment horizontal="center"/>
    </xf>
    <xf numFmtId="37" fontId="16" fillId="0" borderId="0" xfId="6" applyFont="1" applyFill="1" applyBorder="1" applyAlignment="1" applyProtection="1">
      <alignment horizontal="right"/>
    </xf>
    <xf numFmtId="37" fontId="11" fillId="0" borderId="0" xfId="6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left"/>
    </xf>
    <xf numFmtId="164" fontId="16" fillId="0" borderId="0" xfId="0" applyFont="1" applyFill="1" applyBorder="1" applyAlignment="1">
      <alignment horizontal="center"/>
    </xf>
    <xf numFmtId="164" fontId="16" fillId="0" borderId="0" xfId="0" applyFont="1" applyFill="1" applyBorder="1" applyAlignment="1">
      <alignment horizontal="right"/>
    </xf>
    <xf numFmtId="37" fontId="11" fillId="0" borderId="0" xfId="6" applyFont="1" applyFill="1" applyBorder="1"/>
    <xf numFmtId="49" fontId="16" fillId="0" borderId="7" xfId="0" applyNumberFormat="1" applyFont="1" applyFill="1" applyBorder="1"/>
    <xf numFmtId="164" fontId="16" fillId="0" borderId="7" xfId="0" applyFont="1" applyFill="1" applyBorder="1" applyAlignment="1">
      <alignment horizontal="left"/>
    </xf>
    <xf numFmtId="164" fontId="16" fillId="0" borderId="7" xfId="0" applyFont="1" applyFill="1" applyBorder="1" applyAlignment="1">
      <alignment horizontal="right"/>
    </xf>
    <xf numFmtId="37" fontId="11" fillId="0" borderId="0" xfId="6" applyFont="1" applyFill="1" applyAlignment="1">
      <alignment horizontal="right"/>
    </xf>
    <xf numFmtId="49" fontId="11" fillId="0" borderId="0" xfId="6" applyNumberFormat="1" applyFont="1" applyFill="1" applyBorder="1" applyAlignment="1" applyProtection="1">
      <alignment horizontal="fill"/>
    </xf>
    <xf numFmtId="37" fontId="11" fillId="0" borderId="0" xfId="6" applyFont="1" applyFill="1" applyBorder="1" applyAlignment="1" applyProtection="1">
      <alignment horizontal="fill"/>
    </xf>
    <xf numFmtId="49" fontId="11" fillId="0" borderId="1" xfId="6" applyNumberFormat="1" applyFont="1" applyFill="1" applyBorder="1"/>
    <xf numFmtId="37" fontId="16" fillId="0" borderId="1" xfId="6" applyFont="1" applyFill="1" applyBorder="1" applyAlignment="1" applyProtection="1">
      <alignment horizontal="left"/>
    </xf>
    <xf numFmtId="37" fontId="11" fillId="0" borderId="1" xfId="6" applyFont="1" applyFill="1" applyBorder="1"/>
    <xf numFmtId="49" fontId="14" fillId="0" borderId="0" xfId="6" applyNumberFormat="1" applyFont="1" applyFill="1" applyAlignment="1" applyProtection="1">
      <alignment horizontal="left"/>
      <protection locked="0"/>
    </xf>
    <xf numFmtId="37" fontId="14" fillId="0" borderId="0" xfId="6" applyFont="1" applyFill="1" applyAlignment="1" applyProtection="1">
      <alignment horizontal="left"/>
      <protection locked="0"/>
    </xf>
    <xf numFmtId="37" fontId="11" fillId="0" borderId="0" xfId="5" applyNumberFormat="1" applyFont="1" applyFill="1" applyAlignment="1">
      <alignment horizontal="right"/>
    </xf>
    <xf numFmtId="37" fontId="11" fillId="0" borderId="0" xfId="5" applyNumberFormat="1" applyFont="1" applyFill="1" applyBorder="1" applyAlignment="1">
      <alignment horizontal="right"/>
    </xf>
    <xf numFmtId="164" fontId="11" fillId="0" borderId="0" xfId="0" applyFont="1" applyFill="1"/>
    <xf numFmtId="37" fontId="11" fillId="0" borderId="1" xfId="5" applyNumberFormat="1" applyFont="1" applyFill="1" applyBorder="1" applyAlignment="1">
      <alignment horizontal="right"/>
    </xf>
    <xf numFmtId="49" fontId="11" fillId="0" borderId="9" xfId="6" applyNumberFormat="1" applyFont="1" applyFill="1" applyBorder="1" applyAlignment="1" applyProtection="1">
      <alignment horizontal="fill"/>
    </xf>
    <xf numFmtId="37" fontId="11" fillId="0" borderId="9" xfId="6" applyFont="1" applyFill="1" applyBorder="1" applyAlignment="1" applyProtection="1">
      <alignment horizontal="fill"/>
    </xf>
    <xf numFmtId="37" fontId="16" fillId="0" borderId="0" xfId="6" applyFont="1" applyFill="1" applyAlignment="1" applyProtection="1">
      <alignment horizontal="left"/>
    </xf>
    <xf numFmtId="37" fontId="11" fillId="0" borderId="1" xfId="5" applyNumberFormat="1" applyFont="1" applyFill="1" applyBorder="1" applyAlignment="1" applyProtection="1">
      <alignment horizontal="right"/>
    </xf>
    <xf numFmtId="37" fontId="11" fillId="0" borderId="0" xfId="5" applyNumberFormat="1" applyFont="1" applyFill="1" applyBorder="1" applyAlignment="1" applyProtection="1">
      <alignment horizontal="right"/>
    </xf>
    <xf numFmtId="49" fontId="14" fillId="0" borderId="0" xfId="6" quotePrefix="1" applyNumberFormat="1" applyFont="1" applyFill="1" applyAlignment="1" applyProtection="1">
      <alignment horizontal="left"/>
      <protection locked="0"/>
    </xf>
    <xf numFmtId="49" fontId="14" fillId="0" borderId="1" xfId="6" applyNumberFormat="1" applyFont="1" applyFill="1" applyBorder="1" applyAlignment="1" applyProtection="1">
      <alignment horizontal="left"/>
      <protection locked="0"/>
    </xf>
    <xf numFmtId="37" fontId="14" fillId="0" borderId="1" xfId="6" applyFont="1" applyFill="1" applyBorder="1" applyAlignment="1" applyProtection="1">
      <alignment horizontal="left"/>
      <protection locked="0"/>
    </xf>
    <xf numFmtId="49" fontId="11" fillId="0" borderId="2" xfId="6" applyNumberFormat="1" applyFont="1" applyFill="1" applyBorder="1"/>
    <xf numFmtId="37" fontId="16" fillId="0" borderId="2" xfId="6" applyFont="1" applyFill="1" applyBorder="1" applyAlignment="1" applyProtection="1">
      <alignment horizontal="left"/>
    </xf>
    <xf numFmtId="37" fontId="11" fillId="0" borderId="2" xfId="5" applyNumberFormat="1" applyFont="1" applyFill="1" applyBorder="1" applyAlignment="1" applyProtection="1">
      <alignment horizontal="right"/>
    </xf>
    <xf numFmtId="37" fontId="11" fillId="0" borderId="6" xfId="6" applyFont="1" applyFill="1" applyBorder="1" applyAlignment="1" applyProtection="1">
      <alignment horizontal="fill"/>
    </xf>
    <xf numFmtId="37" fontId="11" fillId="0" borderId="0" xfId="6" applyNumberFormat="1" applyFont="1" applyFill="1" applyBorder="1" applyAlignment="1" applyProtection="1">
      <alignment horizontal="right"/>
    </xf>
    <xf numFmtId="37" fontId="16" fillId="0" borderId="0" xfId="5" applyNumberFormat="1" applyFont="1" applyFill="1" applyBorder="1" applyAlignment="1">
      <alignment horizontal="right"/>
    </xf>
    <xf numFmtId="49" fontId="14" fillId="0" borderId="0" xfId="6" applyNumberFormat="1" applyFont="1" applyFill="1" applyBorder="1" applyAlignment="1" applyProtection="1">
      <alignment horizontal="left"/>
      <protection locked="0"/>
    </xf>
    <xf numFmtId="37" fontId="14" fillId="0" borderId="0" xfId="6" applyFont="1" applyFill="1" applyBorder="1" applyAlignment="1" applyProtection="1">
      <alignment horizontal="left"/>
      <protection locked="0"/>
    </xf>
    <xf numFmtId="49" fontId="11" fillId="0" borderId="10" xfId="6" applyNumberFormat="1" applyFont="1" applyFill="1" applyBorder="1"/>
    <xf numFmtId="37" fontId="11" fillId="0" borderId="10" xfId="6" applyFont="1" applyFill="1" applyBorder="1" applyAlignment="1" applyProtection="1">
      <alignment horizontal="left"/>
    </xf>
    <xf numFmtId="37" fontId="11" fillId="0" borderId="10" xfId="5" applyNumberFormat="1" applyFont="1" applyFill="1" applyBorder="1" applyAlignment="1" applyProtection="1">
      <alignment horizontal="right"/>
    </xf>
    <xf numFmtId="49" fontId="11" fillId="0" borderId="0" xfId="6" applyNumberFormat="1" applyFont="1" applyFill="1" applyBorder="1"/>
    <xf numFmtId="37" fontId="16" fillId="0" borderId="0" xfId="6" applyFont="1" applyFill="1" applyBorder="1" applyAlignment="1" applyProtection="1">
      <alignment horizontal="left"/>
    </xf>
    <xf numFmtId="49" fontId="14" fillId="0" borderId="4" xfId="6" applyNumberFormat="1" applyFont="1" applyFill="1" applyBorder="1" applyAlignment="1" applyProtection="1">
      <alignment horizontal="left"/>
      <protection locked="0"/>
    </xf>
    <xf numFmtId="37" fontId="14" fillId="0" borderId="4" xfId="6" applyFont="1" applyFill="1" applyBorder="1" applyAlignment="1" applyProtection="1">
      <alignment horizontal="left"/>
      <protection locked="0"/>
    </xf>
    <xf numFmtId="37" fontId="11" fillId="0" borderId="4" xfId="5" applyNumberFormat="1" applyFont="1" applyFill="1" applyBorder="1" applyAlignment="1">
      <alignment horizontal="right"/>
    </xf>
    <xf numFmtId="37" fontId="17" fillId="0" borderId="0" xfId="6" applyFont="1" applyFill="1" applyAlignment="1" applyProtection="1">
      <alignment horizontal="left"/>
      <protection locked="0"/>
    </xf>
    <xf numFmtId="37" fontId="11" fillId="0" borderId="0" xfId="6" applyNumberFormat="1" applyFont="1" applyFill="1" applyAlignment="1" applyProtection="1">
      <alignment horizontal="right"/>
    </xf>
    <xf numFmtId="39" fontId="11" fillId="0" borderId="0" xfId="6" applyNumberFormat="1" applyFont="1" applyFill="1" applyAlignment="1" applyProtection="1">
      <alignment horizontal="right"/>
    </xf>
    <xf numFmtId="37" fontId="11" fillId="0" borderId="1" xfId="6" applyFont="1" applyFill="1" applyBorder="1" applyAlignment="1" applyProtection="1">
      <alignment horizontal="left"/>
    </xf>
    <xf numFmtId="49" fontId="11" fillId="0" borderId="0" xfId="6" applyNumberFormat="1" applyFont="1" applyFill="1" applyAlignment="1" applyProtection="1">
      <alignment horizontal="left"/>
    </xf>
    <xf numFmtId="37" fontId="16" fillId="0" borderId="0" xfId="6" applyFont="1" applyFill="1" applyAlignment="1" applyProtection="1">
      <alignment horizontal="center"/>
    </xf>
    <xf numFmtId="37" fontId="11" fillId="0" borderId="0" xfId="8" applyNumberFormat="1" applyFont="1" applyFill="1" applyAlignment="1">
      <alignment horizontal="right"/>
    </xf>
    <xf numFmtId="49" fontId="14" fillId="0" borderId="10" xfId="6" quotePrefix="1" applyNumberFormat="1" applyFont="1" applyFill="1" applyBorder="1" applyAlignment="1" applyProtection="1">
      <alignment horizontal="left"/>
      <protection locked="0"/>
    </xf>
    <xf numFmtId="37" fontId="17" fillId="0" borderId="10" xfId="6" applyFont="1" applyFill="1" applyBorder="1" applyAlignment="1" applyProtection="1">
      <alignment horizontal="left"/>
      <protection locked="0"/>
    </xf>
    <xf numFmtId="37" fontId="11" fillId="0" borderId="10" xfId="5" applyNumberFormat="1" applyFont="1" applyFill="1" applyBorder="1" applyAlignment="1">
      <alignment horizontal="right"/>
    </xf>
    <xf numFmtId="37" fontId="11" fillId="0" borderId="0" xfId="5" applyNumberFormat="1" applyFont="1" applyFill="1" applyAlignment="1" applyProtection="1">
      <alignment horizontal="right"/>
    </xf>
    <xf numFmtId="37" fontId="11" fillId="0" borderId="9" xfId="5" applyNumberFormat="1" applyFont="1" applyFill="1" applyBorder="1" applyAlignment="1" applyProtection="1">
      <alignment horizontal="right"/>
    </xf>
    <xf numFmtId="49" fontId="16" fillId="0" borderId="1" xfId="6" applyNumberFormat="1" applyFont="1" applyFill="1" applyBorder="1"/>
    <xf numFmtId="37" fontId="11" fillId="0" borderId="0" xfId="6" applyFont="1" applyFill="1" applyBorder="1" applyAlignment="1" applyProtection="1">
      <alignment horizontal="left"/>
    </xf>
    <xf numFmtId="49" fontId="16" fillId="0" borderId="0" xfId="6" applyNumberFormat="1" applyFont="1" applyFill="1"/>
    <xf numFmtId="37" fontId="16" fillId="0" borderId="0" xfId="6" applyNumberFormat="1" applyFont="1" applyFill="1" applyBorder="1" applyAlignment="1" applyProtection="1">
      <alignment horizontal="left"/>
    </xf>
    <xf numFmtId="37" fontId="16" fillId="0" borderId="1" xfId="6" applyFont="1" applyFill="1" applyBorder="1" applyAlignment="1" applyProtection="1">
      <alignment horizontal="center"/>
    </xf>
    <xf numFmtId="49" fontId="14" fillId="0" borderId="10" xfId="6" applyNumberFormat="1" applyFont="1" applyFill="1" applyBorder="1" applyAlignment="1" applyProtection="1">
      <alignment horizontal="left"/>
      <protection locked="0"/>
    </xf>
    <xf numFmtId="49" fontId="14" fillId="0" borderId="0" xfId="6" quotePrefix="1" applyNumberFormat="1" applyFont="1" applyFill="1" applyBorder="1" applyAlignment="1" applyProtection="1">
      <alignment horizontal="left"/>
      <protection locked="0"/>
    </xf>
    <xf numFmtId="39" fontId="11" fillId="0" borderId="0" xfId="6" applyNumberFormat="1" applyFont="1" applyFill="1" applyBorder="1" applyAlignment="1" applyProtection="1">
      <alignment horizontal="right"/>
    </xf>
    <xf numFmtId="37" fontId="14" fillId="0" borderId="0" xfId="6" applyNumberFormat="1" applyFont="1" applyFill="1" applyAlignment="1" applyProtection="1">
      <alignment horizontal="right"/>
      <protection locked="0"/>
    </xf>
    <xf numFmtId="37" fontId="14" fillId="0" borderId="0" xfId="6" applyNumberFormat="1" applyFont="1" applyFill="1" applyBorder="1" applyAlignment="1" applyProtection="1">
      <alignment horizontal="right"/>
      <protection locked="0"/>
    </xf>
    <xf numFmtId="37" fontId="11" fillId="0" borderId="10" xfId="6" applyFont="1" applyFill="1" applyBorder="1"/>
    <xf numFmtId="37" fontId="14" fillId="0" borderId="10" xfId="6" applyNumberFormat="1" applyFont="1" applyFill="1" applyBorder="1" applyAlignment="1" applyProtection="1">
      <alignment horizontal="right"/>
      <protection locked="0"/>
    </xf>
    <xf numFmtId="164" fontId="11" fillId="0" borderId="0" xfId="0" applyFont="1" applyFill="1" applyAlignment="1">
      <alignment horizontal="right"/>
    </xf>
    <xf numFmtId="49" fontId="14" fillId="0" borderId="0" xfId="6" applyNumberFormat="1" applyFont="1" applyFill="1" applyAlignment="1" applyProtection="1">
      <alignment horizontal="left"/>
    </xf>
    <xf numFmtId="37" fontId="14" fillId="0" borderId="0" xfId="6" applyFont="1" applyFill="1" applyAlignment="1" applyProtection="1">
      <alignment horizontal="left"/>
    </xf>
    <xf numFmtId="49" fontId="14" fillId="0" borderId="0" xfId="6" applyNumberFormat="1" applyFont="1" applyFill="1" applyProtection="1">
      <protection locked="0"/>
    </xf>
    <xf numFmtId="49" fontId="16" fillId="0" borderId="2" xfId="6" applyNumberFormat="1" applyFont="1" applyFill="1" applyBorder="1"/>
    <xf numFmtId="37" fontId="11" fillId="0" borderId="2" xfId="5" applyNumberFormat="1" applyFont="1" applyFill="1" applyBorder="1" applyAlignment="1">
      <alignment horizontal="right"/>
    </xf>
    <xf numFmtId="43" fontId="11" fillId="0" borderId="0" xfId="5" applyNumberFormat="1" applyFont="1" applyFill="1" applyBorder="1" applyAlignment="1">
      <alignment horizontal="right"/>
    </xf>
    <xf numFmtId="37" fontId="16" fillId="0" borderId="1" xfId="6" applyFont="1" applyFill="1" applyBorder="1"/>
    <xf numFmtId="0" fontId="17" fillId="0" borderId="1" xfId="5" applyNumberFormat="1" applyFont="1" applyFill="1" applyBorder="1" applyAlignment="1" applyProtection="1">
      <alignment horizontal="right"/>
    </xf>
    <xf numFmtId="37" fontId="16" fillId="0" borderId="1" xfId="6" applyFont="1" applyFill="1" applyBorder="1" applyAlignment="1" applyProtection="1">
      <alignment horizontal="right"/>
    </xf>
    <xf numFmtId="0" fontId="14" fillId="0" borderId="0" xfId="5" applyNumberFormat="1" applyFont="1" applyFill="1" applyBorder="1" applyAlignment="1" applyProtection="1">
      <alignment horizontal="right"/>
    </xf>
    <xf numFmtId="49" fontId="11" fillId="0" borderId="4" xfId="6" applyNumberFormat="1" applyFont="1" applyFill="1" applyBorder="1"/>
    <xf numFmtId="37" fontId="11" fillId="0" borderId="4" xfId="6" applyFont="1" applyFill="1" applyBorder="1"/>
    <xf numFmtId="169" fontId="11" fillId="0" borderId="1" xfId="5" applyNumberFormat="1" applyFont="1" applyFill="1" applyBorder="1" applyAlignment="1">
      <alignment horizontal="right"/>
    </xf>
    <xf numFmtId="169" fontId="11" fillId="0" borderId="0" xfId="5" applyNumberFormat="1" applyFont="1" applyFill="1" applyBorder="1" applyAlignment="1">
      <alignment horizontal="right"/>
    </xf>
    <xf numFmtId="169" fontId="11" fillId="0" borderId="1" xfId="5" applyNumberFormat="1" applyFont="1" applyFill="1" applyBorder="1" applyAlignment="1" applyProtection="1">
      <alignment horizontal="right"/>
    </xf>
    <xf numFmtId="169" fontId="11" fillId="0" borderId="0" xfId="5" applyNumberFormat="1" applyFont="1" applyFill="1" applyBorder="1" applyAlignment="1" applyProtection="1">
      <alignment horizontal="right"/>
    </xf>
    <xf numFmtId="169" fontId="11" fillId="0" borderId="0" xfId="5" applyNumberFormat="1" applyFont="1" applyFill="1" applyAlignment="1">
      <alignment horizontal="right"/>
    </xf>
    <xf numFmtId="49" fontId="14" fillId="0" borderId="2" xfId="6" applyNumberFormat="1" applyFont="1" applyFill="1" applyBorder="1" applyProtection="1">
      <protection locked="0"/>
    </xf>
    <xf numFmtId="37" fontId="11" fillId="0" borderId="2" xfId="6" applyFont="1" applyFill="1" applyBorder="1"/>
    <xf numFmtId="169" fontId="11" fillId="0" borderId="2" xfId="5" applyNumberFormat="1" applyFont="1" applyFill="1" applyBorder="1" applyAlignment="1">
      <alignment horizontal="right"/>
    </xf>
    <xf numFmtId="49" fontId="14" fillId="0" borderId="5" xfId="6" applyNumberFormat="1" applyFont="1" applyFill="1" applyBorder="1" applyProtection="1">
      <protection locked="0"/>
    </xf>
    <xf numFmtId="37" fontId="11" fillId="0" borderId="5" xfId="6" applyFont="1" applyFill="1" applyBorder="1"/>
    <xf numFmtId="168" fontId="11" fillId="0" borderId="2" xfId="5" applyNumberFormat="1" applyFont="1" applyFill="1" applyBorder="1" applyAlignment="1">
      <alignment horizontal="right"/>
    </xf>
    <xf numFmtId="168" fontId="11" fillId="0" borderId="0" xfId="5" applyNumberFormat="1" applyFont="1" applyFill="1" applyBorder="1" applyAlignment="1">
      <alignment horizontal="right"/>
    </xf>
    <xf numFmtId="43" fontId="11" fillId="0" borderId="0" xfId="5" applyNumberFormat="1" applyFont="1" applyFill="1" applyAlignment="1">
      <alignment horizontal="right"/>
    </xf>
    <xf numFmtId="49" fontId="14" fillId="0" borderId="1" xfId="6" applyNumberFormat="1" applyFont="1" applyFill="1" applyBorder="1" applyProtection="1">
      <protection locked="0"/>
    </xf>
    <xf numFmtId="43" fontId="11" fillId="0" borderId="1" xfId="5" applyNumberFormat="1" applyFont="1" applyFill="1" applyBorder="1" applyAlignment="1">
      <alignment horizontal="right"/>
    </xf>
    <xf numFmtId="37" fontId="14" fillId="0" borderId="0" xfId="6" applyFont="1" applyFill="1" applyProtection="1">
      <protection locked="0"/>
    </xf>
    <xf numFmtId="169" fontId="14" fillId="0" borderId="1" xfId="5" applyNumberFormat="1" applyFont="1" applyFill="1" applyBorder="1" applyAlignment="1" applyProtection="1">
      <alignment horizontal="right"/>
    </xf>
    <xf numFmtId="169" fontId="14" fillId="0" borderId="0" xfId="5" applyNumberFormat="1" applyFont="1" applyFill="1" applyBorder="1" applyAlignment="1" applyProtection="1">
      <alignment horizontal="right"/>
    </xf>
    <xf numFmtId="49" fontId="16" fillId="0" borderId="9" xfId="6" applyNumberFormat="1" applyFont="1" applyFill="1" applyBorder="1"/>
    <xf numFmtId="37" fontId="16" fillId="0" borderId="9" xfId="6" applyFont="1" applyFill="1" applyBorder="1"/>
    <xf numFmtId="169" fontId="16" fillId="0" borderId="0" xfId="5" applyNumberFormat="1" applyFont="1" applyFill="1" applyBorder="1" applyAlignment="1">
      <alignment horizontal="right"/>
    </xf>
    <xf numFmtId="49" fontId="11" fillId="0" borderId="3" xfId="6" applyNumberFormat="1" applyFont="1" applyFill="1" applyBorder="1"/>
    <xf numFmtId="37" fontId="11" fillId="0" borderId="3" xfId="6" applyFont="1" applyFill="1" applyBorder="1"/>
    <xf numFmtId="43" fontId="16" fillId="0" borderId="1" xfId="5" applyNumberFormat="1" applyFont="1" applyFill="1" applyBorder="1" applyAlignment="1">
      <alignment horizontal="right"/>
    </xf>
    <xf numFmtId="43" fontId="16" fillId="0" borderId="0" xfId="5" applyNumberFormat="1" applyFont="1" applyFill="1" applyBorder="1" applyAlignment="1">
      <alignment horizontal="right"/>
    </xf>
    <xf numFmtId="168" fontId="11" fillId="0" borderId="1" xfId="5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10" fontId="11" fillId="0" borderId="0" xfId="4" applyNumberFormat="1" applyFont="1" applyFill="1" applyBorder="1" applyAlignment="1" applyProtection="1">
      <alignment horizontal="right"/>
    </xf>
    <xf numFmtId="10" fontId="11" fillId="0" borderId="1" xfId="4" applyNumberFormat="1" applyFont="1" applyFill="1" applyBorder="1" applyAlignment="1" applyProtection="1">
      <alignment horizontal="right"/>
    </xf>
    <xf numFmtId="10" fontId="11" fillId="0" borderId="2" xfId="4" applyNumberFormat="1" applyFont="1" applyFill="1" applyBorder="1" applyAlignment="1" applyProtection="1">
      <alignment horizontal="right"/>
    </xf>
    <xf numFmtId="166" fontId="11" fillId="0" borderId="0" xfId="0" applyNumberFormat="1" applyFont="1" applyFill="1" applyBorder="1"/>
    <xf numFmtId="43" fontId="11" fillId="0" borderId="0" xfId="5" applyFont="1" applyFill="1" applyBorder="1" applyAlignment="1">
      <alignment horizontal="right"/>
    </xf>
    <xf numFmtId="166" fontId="11" fillId="0" borderId="1" xfId="0" applyNumberFormat="1" applyFont="1" applyFill="1" applyBorder="1"/>
    <xf numFmtId="166" fontId="11" fillId="0" borderId="1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166" fontId="11" fillId="0" borderId="2" xfId="0" applyNumberFormat="1" applyFont="1" applyFill="1" applyBorder="1"/>
    <xf numFmtId="43" fontId="11" fillId="0" borderId="0" xfId="5" applyFont="1" applyFill="1" applyBorder="1" applyProtection="1"/>
    <xf numFmtId="166" fontId="11" fillId="0" borderId="1" xfId="0" applyNumberFormat="1" applyFont="1" applyFill="1" applyBorder="1" applyProtection="1"/>
    <xf numFmtId="166" fontId="11" fillId="0" borderId="0" xfId="0" applyNumberFormat="1" applyFont="1" applyFill="1" applyBorder="1" applyProtection="1"/>
    <xf numFmtId="166" fontId="11" fillId="0" borderId="2" xfId="0" applyNumberFormat="1" applyFont="1" applyFill="1" applyBorder="1" applyProtection="1"/>
    <xf numFmtId="10" fontId="11" fillId="0" borderId="0" xfId="4" applyNumberFormat="1" applyFont="1" applyFill="1" applyBorder="1" applyAlignment="1">
      <alignment horizontal="right"/>
    </xf>
    <xf numFmtId="37" fontId="16" fillId="0" borderId="2" xfId="6" applyFont="1" applyFill="1" applyBorder="1"/>
    <xf numFmtId="10" fontId="11" fillId="0" borderId="2" xfId="4" applyNumberFormat="1" applyFont="1" applyFill="1" applyBorder="1" applyAlignment="1">
      <alignment horizontal="right"/>
    </xf>
    <xf numFmtId="43" fontId="11" fillId="0" borderId="2" xfId="5" applyFont="1" applyFill="1" applyBorder="1" applyAlignment="1">
      <alignment horizontal="right"/>
    </xf>
    <xf numFmtId="0" fontId="14" fillId="0" borderId="1" xfId="5" applyNumberFormat="1" applyFont="1" applyFill="1" applyBorder="1" applyAlignment="1" applyProtection="1">
      <alignment horizontal="right"/>
      <protection locked="0"/>
    </xf>
    <xf numFmtId="37" fontId="14" fillId="0" borderId="1" xfId="5" applyNumberFormat="1" applyFont="1" applyFill="1" applyBorder="1" applyAlignment="1" applyProtection="1">
      <alignment horizontal="right"/>
      <protection locked="0"/>
    </xf>
    <xf numFmtId="10" fontId="11" fillId="0" borderId="0" xfId="4" applyNumberFormat="1" applyFont="1" applyFill="1" applyAlignment="1" applyProtection="1">
      <alignment horizontal="right"/>
    </xf>
    <xf numFmtId="10" fontId="11" fillId="0" borderId="0" xfId="4" applyNumberFormat="1" applyFont="1" applyFill="1" applyProtection="1"/>
    <xf numFmtId="0" fontId="14" fillId="0" borderId="0" xfId="5" applyNumberFormat="1" applyFont="1" applyFill="1" applyBorder="1" applyAlignment="1" applyProtection="1">
      <alignment horizontal="right"/>
      <protection locked="0"/>
    </xf>
    <xf numFmtId="43" fontId="11" fillId="0" borderId="1" xfId="5" applyNumberFormat="1" applyFont="1" applyFill="1" applyBorder="1" applyAlignment="1" applyProtection="1">
      <alignment horizontal="right"/>
    </xf>
    <xf numFmtId="43" fontId="11" fillId="0" borderId="0" xfId="5" applyNumberFormat="1" applyFont="1" applyFill="1" applyBorder="1" applyAlignment="1" applyProtection="1">
      <alignment horizontal="right"/>
    </xf>
    <xf numFmtId="43" fontId="11" fillId="0" borderId="0" xfId="5" applyNumberFormat="1" applyFont="1" applyFill="1" applyAlignment="1" applyProtection="1">
      <alignment horizontal="right"/>
    </xf>
    <xf numFmtId="43" fontId="11" fillId="0" borderId="2" xfId="5" applyNumberFormat="1" applyFont="1" applyFill="1" applyBorder="1" applyAlignment="1" applyProtection="1">
      <alignment horizontal="right"/>
    </xf>
    <xf numFmtId="43" fontId="15" fillId="0" borderId="0" xfId="5" applyNumberFormat="1" applyFont="1" applyFill="1" applyBorder="1" applyAlignment="1">
      <alignment horizontal="right"/>
    </xf>
    <xf numFmtId="169" fontId="11" fillId="0" borderId="0" xfId="5" applyNumberFormat="1" applyFont="1" applyFill="1" applyAlignment="1" applyProtection="1">
      <alignment horizontal="right"/>
    </xf>
    <xf numFmtId="169" fontId="11" fillId="0" borderId="2" xfId="5" applyNumberFormat="1" applyFont="1" applyFill="1" applyBorder="1" applyAlignment="1" applyProtection="1">
      <alignment horizontal="right"/>
    </xf>
    <xf numFmtId="49" fontId="14" fillId="0" borderId="1" xfId="5" applyNumberFormat="1" applyFont="1" applyFill="1" applyBorder="1" applyAlignment="1" applyProtection="1">
      <alignment horizontal="right"/>
      <protection locked="0"/>
    </xf>
    <xf numFmtId="49" fontId="14" fillId="0" borderId="0" xfId="5" applyNumberFormat="1" applyFont="1" applyFill="1" applyBorder="1" applyAlignment="1" applyProtection="1">
      <alignment horizontal="right"/>
      <protection locked="0"/>
    </xf>
    <xf numFmtId="43" fontId="16" fillId="0" borderId="1" xfId="0" applyNumberFormat="1" applyFont="1" applyFill="1" applyBorder="1" applyAlignment="1" applyProtection="1">
      <alignment horizontal="right"/>
    </xf>
    <xf numFmtId="43" fontId="16" fillId="0" borderId="0" xfId="0" applyNumberFormat="1" applyFont="1" applyFill="1" applyBorder="1" applyAlignment="1" applyProtection="1">
      <alignment horizontal="right"/>
    </xf>
    <xf numFmtId="43" fontId="11" fillId="0" borderId="0" xfId="0" applyNumberFormat="1" applyFont="1" applyFill="1" applyAlignment="1" applyProtection="1">
      <alignment horizontal="right"/>
    </xf>
    <xf numFmtId="43" fontId="11" fillId="0" borderId="0" xfId="0" applyNumberFormat="1" applyFont="1" applyFill="1" applyBorder="1" applyAlignment="1" applyProtection="1">
      <alignment horizontal="right"/>
    </xf>
    <xf numFmtId="43" fontId="11" fillId="0" borderId="0" xfId="4" applyNumberFormat="1" applyFont="1" applyFill="1" applyBorder="1" applyAlignment="1" applyProtection="1">
      <alignment horizontal="right"/>
    </xf>
    <xf numFmtId="43" fontId="16" fillId="0" borderId="0" xfId="5" applyNumberFormat="1" applyFont="1" applyFill="1" applyBorder="1" applyAlignment="1" applyProtection="1">
      <alignment horizontal="right"/>
    </xf>
    <xf numFmtId="10" fontId="16" fillId="0" borderId="0" xfId="4" applyNumberFormat="1" applyFont="1" applyFill="1" applyBorder="1" applyAlignment="1">
      <alignment horizontal="right"/>
    </xf>
    <xf numFmtId="43" fontId="16" fillId="0" borderId="1" xfId="5" applyNumberFormat="1" applyFont="1" applyFill="1" applyBorder="1" applyAlignment="1" applyProtection="1">
      <alignment horizontal="right"/>
    </xf>
    <xf numFmtId="164" fontId="11" fillId="0" borderId="1" xfId="0" applyFont="1" applyFill="1" applyBorder="1" applyAlignment="1" applyProtection="1">
      <alignment horizontal="right"/>
    </xf>
    <xf numFmtId="10" fontId="16" fillId="0" borderId="1" xfId="0" applyNumberFormat="1" applyFont="1" applyFill="1" applyBorder="1" applyAlignment="1" applyProtection="1">
      <alignment horizontal="right"/>
    </xf>
    <xf numFmtId="10" fontId="16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/>
    <xf numFmtId="0" fontId="11" fillId="0" borderId="0" xfId="0" applyNumberFormat="1" applyFont="1" applyFill="1" applyAlignment="1">
      <alignment horizontal="right"/>
    </xf>
    <xf numFmtId="169" fontId="11" fillId="0" borderId="0" xfId="0" applyNumberFormat="1" applyFont="1" applyFill="1"/>
    <xf numFmtId="10" fontId="11" fillId="0" borderId="0" xfId="4" applyNumberFormat="1" applyFont="1" applyFill="1" applyAlignment="1">
      <alignment horizontal="right"/>
    </xf>
    <xf numFmtId="49" fontId="11" fillId="0" borderId="0" xfId="0" applyNumberFormat="1" applyFont="1" applyFill="1"/>
    <xf numFmtId="49" fontId="1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9" fontId="11" fillId="0" borderId="0" xfId="5" applyNumberFormat="1" applyFont="1" applyFill="1"/>
    <xf numFmtId="43" fontId="11" fillId="0" borderId="0" xfId="5" applyFont="1" applyFill="1" applyAlignment="1">
      <alignment horizontal="right"/>
    </xf>
    <xf numFmtId="10" fontId="11" fillId="0" borderId="0" xfId="5" applyNumberFormat="1" applyFont="1" applyFill="1" applyAlignment="1">
      <alignment horizontal="right"/>
    </xf>
    <xf numFmtId="43" fontId="11" fillId="0" borderId="0" xfId="0" applyNumberFormat="1" applyFont="1" applyFill="1" applyAlignment="1">
      <alignment horizontal="right"/>
    </xf>
    <xf numFmtId="43" fontId="11" fillId="0" borderId="0" xfId="5" applyFont="1" applyFill="1"/>
    <xf numFmtId="10" fontId="11" fillId="0" borderId="0" xfId="4" applyNumberFormat="1" applyFont="1" applyFill="1"/>
    <xf numFmtId="0" fontId="16" fillId="0" borderId="0" xfId="0" applyNumberFormat="1" applyFont="1" applyFill="1"/>
    <xf numFmtId="167" fontId="11" fillId="0" borderId="0" xfId="4" applyNumberFormat="1" applyFont="1" applyFill="1" applyAlignment="1" applyProtection="1">
      <alignment horizontal="right"/>
    </xf>
    <xf numFmtId="175" fontId="11" fillId="0" borderId="0" xfId="2" applyNumberFormat="1" applyFont="1" applyFill="1" applyAlignment="1" applyProtection="1">
      <alignment horizontal="right"/>
    </xf>
    <xf numFmtId="1" fontId="16" fillId="0" borderId="0" xfId="5" applyNumberFormat="1" applyFont="1" applyFill="1" applyAlignment="1">
      <alignment horizontal="right"/>
    </xf>
    <xf numFmtId="1" fontId="11" fillId="0" borderId="0" xfId="5" applyNumberFormat="1" applyFont="1" applyFill="1" applyAlignment="1">
      <alignment horizontal="right"/>
    </xf>
    <xf numFmtId="1" fontId="11" fillId="0" borderId="0" xfId="0" applyNumberFormat="1" applyFont="1" applyFill="1"/>
    <xf numFmtId="37" fontId="11" fillId="0" borderId="0" xfId="0" applyNumberFormat="1" applyFont="1" applyFill="1" applyBorder="1" applyAlignment="1">
      <alignment horizontal="right"/>
    </xf>
    <xf numFmtId="39" fontId="11" fillId="0" borderId="0" xfId="6" applyNumberFormat="1" applyFont="1" applyFill="1"/>
    <xf numFmtId="39" fontId="16" fillId="0" borderId="0" xfId="6" applyNumberFormat="1" applyFont="1" applyFill="1" applyAlignment="1" applyProtection="1">
      <alignment horizontal="right"/>
    </xf>
    <xf numFmtId="39" fontId="16" fillId="0" borderId="0" xfId="6" applyNumberFormat="1" applyFont="1" applyFill="1" applyBorder="1" applyAlignment="1" applyProtection="1">
      <alignment horizontal="right"/>
    </xf>
    <xf numFmtId="39" fontId="16" fillId="0" borderId="7" xfId="0" applyNumberFormat="1" applyFont="1" applyFill="1" applyBorder="1" applyAlignment="1">
      <alignment horizontal="left"/>
    </xf>
    <xf numFmtId="37" fontId="11" fillId="0" borderId="0" xfId="6" applyFont="1" applyFill="1" applyAlignment="1" applyProtection="1">
      <alignment horizontal="right"/>
    </xf>
    <xf numFmtId="39" fontId="14" fillId="0" borderId="0" xfId="5" applyNumberFormat="1" applyFont="1" applyFill="1" applyBorder="1" applyAlignment="1" applyProtection="1">
      <alignment horizontal="right"/>
      <protection locked="0"/>
    </xf>
    <xf numFmtId="39" fontId="11" fillId="0" borderId="1" xfId="6" applyNumberFormat="1" applyFont="1" applyFill="1" applyBorder="1" applyAlignment="1" applyProtection="1">
      <alignment horizontal="right"/>
    </xf>
    <xf numFmtId="37" fontId="11" fillId="0" borderId="1" xfId="6" applyFont="1" applyFill="1" applyBorder="1" applyAlignment="1" applyProtection="1">
      <alignment horizontal="right"/>
    </xf>
    <xf numFmtId="39" fontId="16" fillId="0" borderId="1" xfId="5" applyNumberFormat="1" applyFont="1" applyFill="1" applyBorder="1" applyAlignment="1">
      <alignment horizontal="right"/>
    </xf>
    <xf numFmtId="37" fontId="11" fillId="0" borderId="1" xfId="6" applyFont="1" applyFill="1" applyBorder="1" applyAlignment="1" applyProtection="1">
      <alignment horizontal="fill"/>
    </xf>
    <xf numFmtId="39" fontId="11" fillId="0" borderId="0" xfId="5" applyNumberFormat="1" applyFont="1" applyFill="1" applyAlignment="1">
      <alignment horizontal="right"/>
    </xf>
    <xf numFmtId="10" fontId="11" fillId="0" borderId="0" xfId="6" applyNumberFormat="1" applyFont="1" applyFill="1" applyProtection="1"/>
    <xf numFmtId="37" fontId="11" fillId="0" borderId="1" xfId="6" applyNumberFormat="1" applyFont="1" applyFill="1" applyBorder="1" applyAlignment="1" applyProtection="1">
      <alignment horizontal="right"/>
    </xf>
    <xf numFmtId="39" fontId="11" fillId="0" borderId="1" xfId="5" applyNumberFormat="1" applyFont="1" applyFill="1" applyBorder="1" applyAlignment="1">
      <alignment horizontal="right"/>
    </xf>
    <xf numFmtId="39" fontId="11" fillId="0" borderId="1" xfId="5" applyNumberFormat="1" applyFont="1" applyFill="1" applyBorder="1" applyAlignment="1" applyProtection="1">
      <alignment horizontal="right"/>
    </xf>
    <xf numFmtId="10" fontId="11" fillId="0" borderId="1" xfId="6" applyNumberFormat="1" applyFont="1" applyFill="1" applyBorder="1" applyProtection="1"/>
    <xf numFmtId="10" fontId="11" fillId="0" borderId="0" xfId="6" applyNumberFormat="1" applyFont="1" applyFill="1" applyBorder="1" applyProtection="1"/>
    <xf numFmtId="37" fontId="11" fillId="0" borderId="2" xfId="6" applyNumberFormat="1" applyFont="1" applyFill="1" applyBorder="1" applyAlignment="1" applyProtection="1">
      <alignment horizontal="right"/>
    </xf>
    <xf numFmtId="37" fontId="11" fillId="0" borderId="2" xfId="6" applyFont="1" applyFill="1" applyBorder="1" applyAlignment="1" applyProtection="1">
      <alignment horizontal="right"/>
    </xf>
    <xf numFmtId="39" fontId="11" fillId="0" borderId="2" xfId="5" applyNumberFormat="1" applyFont="1" applyFill="1" applyBorder="1" applyAlignment="1" applyProtection="1">
      <alignment horizontal="right"/>
    </xf>
    <xf numFmtId="10" fontId="11" fillId="0" borderId="2" xfId="6" applyNumberFormat="1" applyFont="1" applyFill="1" applyBorder="1" applyProtection="1"/>
    <xf numFmtId="39" fontId="16" fillId="0" borderId="0" xfId="5" applyNumberFormat="1" applyFont="1" applyFill="1" applyBorder="1" applyAlignment="1">
      <alignment horizontal="right"/>
    </xf>
    <xf numFmtId="37" fontId="11" fillId="0" borderId="0" xfId="6" applyFont="1" applyFill="1" applyBorder="1" applyAlignment="1" applyProtection="1">
      <alignment horizontal="right"/>
    </xf>
    <xf numFmtId="39" fontId="11" fillId="0" borderId="0" xfId="5" applyNumberFormat="1" applyFont="1" applyFill="1" applyBorder="1" applyAlignment="1">
      <alignment horizontal="right"/>
    </xf>
    <xf numFmtId="37" fontId="16" fillId="0" borderId="10" xfId="6" applyFont="1" applyFill="1" applyBorder="1" applyAlignment="1" applyProtection="1">
      <alignment horizontal="left"/>
    </xf>
    <xf numFmtId="37" fontId="11" fillId="0" borderId="10" xfId="6" applyNumberFormat="1" applyFont="1" applyFill="1" applyBorder="1" applyAlignment="1" applyProtection="1">
      <alignment horizontal="right"/>
    </xf>
    <xf numFmtId="37" fontId="11" fillId="0" borderId="10" xfId="6" applyFont="1" applyFill="1" applyBorder="1" applyAlignment="1" applyProtection="1">
      <alignment horizontal="right"/>
    </xf>
    <xf numFmtId="39" fontId="11" fillId="0" borderId="10" xfId="5" applyNumberFormat="1" applyFont="1" applyFill="1" applyBorder="1" applyAlignment="1" applyProtection="1">
      <alignment horizontal="right"/>
    </xf>
    <xf numFmtId="10" fontId="11" fillId="0" borderId="10" xfId="6" applyNumberFormat="1" applyFont="1" applyFill="1" applyBorder="1" applyProtection="1"/>
    <xf numFmtId="37" fontId="17" fillId="0" borderId="4" xfId="6" applyFont="1" applyFill="1" applyBorder="1" applyAlignment="1" applyProtection="1">
      <alignment horizontal="left"/>
      <protection locked="0"/>
    </xf>
    <xf numFmtId="39" fontId="11" fillId="0" borderId="4" xfId="5" applyNumberFormat="1" applyFont="1" applyFill="1" applyBorder="1" applyAlignment="1">
      <alignment horizontal="right"/>
    </xf>
    <xf numFmtId="10" fontId="11" fillId="0" borderId="4" xfId="4" applyNumberFormat="1" applyFont="1" applyFill="1" applyBorder="1" applyAlignment="1">
      <alignment horizontal="right"/>
    </xf>
    <xf numFmtId="10" fontId="11" fillId="0" borderId="4" xfId="6" applyNumberFormat="1" applyFont="1" applyFill="1" applyBorder="1" applyProtection="1"/>
    <xf numFmtId="39" fontId="11" fillId="0" borderId="0" xfId="5" applyNumberFormat="1" applyFont="1" applyFill="1" applyBorder="1" applyAlignment="1" applyProtection="1">
      <alignment horizontal="right"/>
    </xf>
    <xf numFmtId="39" fontId="11" fillId="0" borderId="10" xfId="5" applyNumberFormat="1" applyFont="1" applyFill="1" applyBorder="1" applyAlignment="1">
      <alignment horizontal="right"/>
    </xf>
    <xf numFmtId="39" fontId="11" fillId="0" borderId="0" xfId="5" applyNumberFormat="1" applyFont="1" applyFill="1" applyAlignment="1" applyProtection="1">
      <alignment horizontal="right"/>
    </xf>
    <xf numFmtId="39" fontId="11" fillId="0" borderId="9" xfId="5" applyNumberFormat="1" applyFont="1" applyFill="1" applyBorder="1" applyAlignment="1" applyProtection="1">
      <alignment horizontal="right"/>
    </xf>
    <xf numFmtId="37" fontId="16" fillId="0" borderId="1" xfId="6" applyNumberFormat="1" applyFont="1" applyFill="1" applyBorder="1" applyAlignment="1" applyProtection="1">
      <alignment horizontal="right"/>
    </xf>
    <xf numFmtId="10" fontId="16" fillId="0" borderId="1" xfId="6" applyNumberFormat="1" applyFont="1" applyFill="1" applyBorder="1" applyProtection="1"/>
    <xf numFmtId="37" fontId="16" fillId="0" borderId="0" xfId="6" applyFont="1" applyFill="1" applyBorder="1"/>
    <xf numFmtId="37" fontId="11" fillId="2" borderId="0" xfId="6" applyFont="1" applyFill="1" applyBorder="1" applyAlignment="1" applyProtection="1">
      <alignment horizontal="left"/>
    </xf>
    <xf numFmtId="180" fontId="16" fillId="2" borderId="0" xfId="6" applyNumberFormat="1" applyFont="1" applyFill="1" applyBorder="1"/>
    <xf numFmtId="10" fontId="16" fillId="0" borderId="0" xfId="6" applyNumberFormat="1" applyFont="1" applyFill="1" applyProtection="1"/>
    <xf numFmtId="39" fontId="16" fillId="0" borderId="0" xfId="6" applyNumberFormat="1" applyFont="1" applyFill="1" applyBorder="1" applyAlignment="1" applyProtection="1">
      <alignment horizontal="left"/>
    </xf>
    <xf numFmtId="39" fontId="14" fillId="0" borderId="0" xfId="6" applyNumberFormat="1" applyFont="1" applyFill="1" applyAlignment="1" applyProtection="1">
      <alignment horizontal="right"/>
      <protection locked="0"/>
    </xf>
    <xf numFmtId="39" fontId="14" fillId="0" borderId="10" xfId="6" applyNumberFormat="1" applyFont="1" applyFill="1" applyBorder="1" applyAlignment="1" applyProtection="1">
      <alignment horizontal="right"/>
      <protection locked="0"/>
    </xf>
    <xf numFmtId="37" fontId="16" fillId="0" borderId="2" xfId="6" applyFont="1" applyFill="1" applyBorder="1" applyAlignment="1" applyProtection="1">
      <alignment horizontal="right"/>
    </xf>
    <xf numFmtId="10" fontId="16" fillId="0" borderId="2" xfId="6" applyNumberFormat="1" applyFont="1" applyFill="1" applyBorder="1" applyProtection="1"/>
    <xf numFmtId="39" fontId="11" fillId="0" borderId="9" xfId="6" applyNumberFormat="1" applyFont="1" applyFill="1" applyBorder="1" applyAlignment="1" applyProtection="1">
      <alignment horizontal="fill"/>
    </xf>
    <xf numFmtId="164" fontId="0" fillId="0" borderId="0" xfId="0" applyFill="1"/>
    <xf numFmtId="164" fontId="3" fillId="0" borderId="0" xfId="0" applyFont="1" applyFill="1" applyAlignment="1" applyProtection="1">
      <alignment horizontal="right"/>
    </xf>
    <xf numFmtId="164" fontId="4" fillId="0" borderId="2" xfId="0" applyFont="1" applyFill="1" applyBorder="1" applyAlignment="1" applyProtection="1">
      <alignment horizontal="left"/>
    </xf>
    <xf numFmtId="10" fontId="4" fillId="0" borderId="2" xfId="0" applyNumberFormat="1" applyFont="1" applyFill="1" applyBorder="1" applyProtection="1"/>
    <xf numFmtId="10" fontId="4" fillId="0" borderId="0" xfId="0" applyNumberFormat="1" applyFont="1" applyFill="1" applyProtection="1"/>
    <xf numFmtId="164" fontId="11" fillId="0" borderId="0" xfId="0" applyFont="1" applyFill="1" applyBorder="1" applyAlignment="1" applyProtection="1">
      <alignment horizontal="fill"/>
    </xf>
    <xf numFmtId="164" fontId="16" fillId="0" borderId="0" xfId="0" applyFont="1" applyFill="1" applyAlignment="1" applyProtection="1">
      <alignment horizontal="left"/>
    </xf>
    <xf numFmtId="164" fontId="16" fillId="0" borderId="0" xfId="0" applyFont="1" applyFill="1" applyAlignment="1" applyProtection="1">
      <alignment horizontal="right"/>
    </xf>
    <xf numFmtId="164" fontId="16" fillId="0" borderId="0" xfId="0" applyFont="1" applyFill="1" applyAlignment="1">
      <alignment horizontal="right"/>
    </xf>
    <xf numFmtId="164" fontId="11" fillId="0" borderId="9" xfId="0" applyFont="1" applyFill="1" applyBorder="1" applyAlignment="1" applyProtection="1">
      <alignment horizontal="left"/>
    </xf>
    <xf numFmtId="164" fontId="11" fillId="0" borderId="9" xfId="0" applyFont="1" applyFill="1" applyBorder="1" applyAlignment="1" applyProtection="1">
      <alignment horizontal="fill"/>
    </xf>
    <xf numFmtId="164" fontId="11" fillId="0" borderId="0" xfId="0" applyFont="1" applyFill="1" applyAlignment="1" applyProtection="1">
      <alignment horizontal="left"/>
    </xf>
    <xf numFmtId="10" fontId="14" fillId="0" borderId="0" xfId="4" applyNumberFormat="1" applyFont="1" applyFill="1" applyProtection="1">
      <protection locked="0"/>
    </xf>
    <xf numFmtId="173" fontId="11" fillId="0" borderId="0" xfId="4" applyNumberFormat="1" applyFont="1" applyFill="1"/>
    <xf numFmtId="164" fontId="15" fillId="0" borderId="0" xfId="0" applyFont="1" applyFill="1" applyAlignment="1" applyProtection="1">
      <alignment horizontal="right"/>
    </xf>
    <xf numFmtId="166" fontId="14" fillId="0" borderId="0" xfId="0" applyNumberFormat="1" applyFont="1" applyFill="1" applyProtection="1">
      <protection locked="0"/>
    </xf>
    <xf numFmtId="171" fontId="11" fillId="0" borderId="0" xfId="0" applyNumberFormat="1" applyFont="1" applyFill="1" applyProtection="1"/>
    <xf numFmtId="164" fontId="11" fillId="0" borderId="2" xfId="0" applyFont="1" applyFill="1" applyBorder="1" applyAlignment="1" applyProtection="1">
      <alignment horizontal="left"/>
    </xf>
    <xf numFmtId="166" fontId="14" fillId="0" borderId="2" xfId="0" applyNumberFormat="1" applyFont="1" applyFill="1" applyBorder="1" applyProtection="1">
      <protection locked="0"/>
    </xf>
    <xf numFmtId="171" fontId="11" fillId="0" borderId="2" xfId="0" applyNumberFormat="1" applyFont="1" applyFill="1" applyBorder="1" applyProtection="1"/>
    <xf numFmtId="164" fontId="3" fillId="0" borderId="1" xfId="0" applyFont="1" applyFill="1" applyBorder="1" applyAlignment="1" applyProtection="1">
      <alignment horizontal="right"/>
    </xf>
    <xf numFmtId="39" fontId="9" fillId="0" borderId="2" xfId="0" applyNumberFormat="1" applyFont="1" applyFill="1" applyBorder="1" applyProtection="1">
      <protection locked="0"/>
    </xf>
    <xf numFmtId="169" fontId="3" fillId="0" borderId="0" xfId="8" applyNumberFormat="1" applyFont="1" applyFill="1"/>
    <xf numFmtId="164" fontId="3" fillId="0" borderId="0" xfId="0" applyFont="1" applyFill="1"/>
    <xf numFmtId="164" fontId="3" fillId="0" borderId="1" xfId="0" applyFont="1" applyFill="1" applyBorder="1" applyAlignment="1" applyProtection="1">
      <alignment horizontal="left"/>
    </xf>
    <xf numFmtId="169" fontId="3" fillId="0" borderId="1" xfId="8" applyNumberFormat="1" applyFont="1" applyFill="1" applyBorder="1" applyAlignment="1" applyProtection="1">
      <alignment horizontal="right"/>
    </xf>
    <xf numFmtId="164" fontId="9" fillId="0" borderId="0" xfId="0" applyFont="1" applyFill="1" applyAlignment="1" applyProtection="1">
      <alignment horizontal="left"/>
      <protection locked="0"/>
    </xf>
    <xf numFmtId="169" fontId="4" fillId="0" borderId="0" xfId="8" applyNumberFormat="1" applyFont="1" applyFill="1" applyProtection="1"/>
    <xf numFmtId="164" fontId="9" fillId="0" borderId="1" xfId="0" applyFont="1" applyFill="1" applyBorder="1" applyAlignment="1" applyProtection="1">
      <alignment horizontal="left"/>
      <protection locked="0"/>
    </xf>
    <xf numFmtId="169" fontId="4" fillId="0" borderId="9" xfId="8" applyNumberFormat="1" applyFont="1" applyFill="1" applyBorder="1" applyAlignment="1" applyProtection="1">
      <alignment horizontal="fill"/>
    </xf>
    <xf numFmtId="169" fontId="4" fillId="0" borderId="1" xfId="8" applyNumberFormat="1" applyFont="1" applyFill="1" applyBorder="1" applyProtection="1"/>
    <xf numFmtId="164" fontId="0" fillId="0" borderId="1" xfId="0" applyFill="1" applyBorder="1"/>
    <xf numFmtId="164" fontId="4" fillId="0" borderId="9" xfId="0" applyFont="1" applyFill="1" applyBorder="1" applyAlignment="1" applyProtection="1">
      <alignment horizontal="left"/>
    </xf>
    <xf numFmtId="169" fontId="4" fillId="0" borderId="1" xfId="8" applyNumberFormat="1" applyFont="1" applyFill="1" applyBorder="1"/>
    <xf numFmtId="169" fontId="12" fillId="0" borderId="0" xfId="8" applyNumberFormat="1" applyFont="1" applyFill="1" applyProtection="1"/>
    <xf numFmtId="169" fontId="3" fillId="0" borderId="2" xfId="8" applyNumberFormat="1" applyFont="1" applyFill="1" applyBorder="1" applyProtection="1"/>
    <xf numFmtId="164" fontId="0" fillId="0" borderId="2" xfId="0" applyFill="1" applyBorder="1"/>
    <xf numFmtId="1" fontId="4" fillId="0" borderId="0" xfId="9" applyNumberFormat="1" applyFont="1" applyFill="1" applyBorder="1"/>
    <xf numFmtId="1" fontId="4" fillId="0" borderId="0" xfId="8" applyNumberFormat="1" applyFont="1" applyFill="1" applyBorder="1"/>
    <xf numFmtId="1" fontId="4" fillId="0" borderId="0" xfId="0" applyNumberFormat="1" applyFont="1" applyFill="1" applyBorder="1"/>
    <xf numFmtId="164" fontId="4" fillId="0" borderId="0" xfId="0" applyNumberFormat="1" applyFont="1" applyFill="1" applyBorder="1"/>
    <xf numFmtId="166" fontId="3" fillId="0" borderId="0" xfId="0" applyNumberFormat="1" applyFont="1" applyFill="1" applyBorder="1"/>
    <xf numFmtId="10" fontId="21" fillId="0" borderId="0" xfId="0" applyNumberFormat="1" applyFont="1" applyFill="1" applyBorder="1" applyProtection="1">
      <protection locked="0"/>
    </xf>
    <xf numFmtId="1" fontId="4" fillId="0" borderId="0" xfId="8" applyNumberFormat="1" applyFont="1" applyFill="1" applyBorder="1" applyProtection="1"/>
    <xf numFmtId="164" fontId="4" fillId="0" borderId="1" xfId="0" applyFont="1" applyFill="1" applyBorder="1" applyAlignment="1">
      <alignment horizontal="left"/>
    </xf>
    <xf numFmtId="1" fontId="4" fillId="0" borderId="1" xfId="9" applyNumberFormat="1" applyFont="1" applyFill="1" applyBorder="1"/>
    <xf numFmtId="1" fontId="4" fillId="0" borderId="1" xfId="8" applyNumberFormat="1" applyFont="1" applyFill="1" applyBorder="1"/>
    <xf numFmtId="1" fontId="4" fillId="0" borderId="1" xfId="0" applyNumberFormat="1" applyFont="1" applyFill="1" applyBorder="1"/>
    <xf numFmtId="43" fontId="4" fillId="0" borderId="0" xfId="9" applyFont="1" applyFill="1"/>
    <xf numFmtId="43" fontId="4" fillId="0" borderId="6" xfId="9" applyFont="1" applyFill="1" applyBorder="1" applyAlignment="1" applyProtection="1">
      <alignment horizontal="right"/>
    </xf>
    <xf numFmtId="169" fontId="4" fillId="0" borderId="0" xfId="9" applyNumberFormat="1" applyFont="1" applyFill="1" applyBorder="1" applyAlignment="1" applyProtection="1">
      <alignment horizontal="right"/>
    </xf>
    <xf numFmtId="169" fontId="4" fillId="0" borderId="10" xfId="9" applyNumberFormat="1" applyFont="1" applyFill="1" applyBorder="1"/>
    <xf numFmtId="43" fontId="4" fillId="0" borderId="2" xfId="9" applyFont="1" applyFill="1" applyBorder="1"/>
    <xf numFmtId="164" fontId="10" fillId="0" borderId="0" xfId="0" applyFont="1" applyFill="1" applyAlignment="1">
      <alignment horizontal="right"/>
    </xf>
    <xf numFmtId="164" fontId="3" fillId="0" borderId="0" xfId="0" applyFont="1" applyFill="1" applyAlignment="1">
      <alignment horizontal="right"/>
    </xf>
    <xf numFmtId="164" fontId="10" fillId="0" borderId="1" xfId="0" applyFont="1" applyFill="1" applyBorder="1" applyAlignment="1">
      <alignment horizontal="right"/>
    </xf>
    <xf numFmtId="39" fontId="4" fillId="0" borderId="0" xfId="0" applyNumberFormat="1" applyFont="1" applyFill="1" applyProtection="1"/>
    <xf numFmtId="39" fontId="4" fillId="0" borderId="1" xfId="0" applyNumberFormat="1" applyFont="1" applyFill="1" applyBorder="1" applyProtection="1"/>
    <xf numFmtId="10" fontId="4" fillId="0" borderId="1" xfId="0" applyNumberFormat="1" applyFont="1" applyFill="1" applyBorder="1" applyProtection="1"/>
    <xf numFmtId="169" fontId="10" fillId="0" borderId="0" xfId="8" applyNumberFormat="1" applyFont="1" applyFill="1" applyBorder="1" applyProtection="1"/>
    <xf numFmtId="169" fontId="4" fillId="0" borderId="0" xfId="8" applyNumberFormat="1" applyFont="1" applyFill="1" applyBorder="1" applyProtection="1"/>
    <xf numFmtId="39" fontId="4" fillId="0" borderId="0" xfId="0" applyNumberFormat="1" applyFont="1" applyFill="1" applyBorder="1" applyProtection="1"/>
    <xf numFmtId="10" fontId="4" fillId="0" borderId="0" xfId="0" applyNumberFormat="1" applyFont="1" applyFill="1" applyBorder="1" applyProtection="1"/>
    <xf numFmtId="39" fontId="10" fillId="0" borderId="4" xfId="0" applyNumberFormat="1" applyFont="1" applyFill="1" applyBorder="1" applyProtection="1"/>
    <xf numFmtId="39" fontId="29" fillId="0" borderId="0" xfId="0" applyNumberFormat="1" applyFont="1" applyFill="1" applyBorder="1" applyProtection="1"/>
    <xf numFmtId="43" fontId="4" fillId="0" borderId="0" xfId="8" applyFont="1" applyFill="1" applyBorder="1"/>
    <xf numFmtId="39" fontId="10" fillId="0" borderId="1" xfId="0" applyNumberFormat="1" applyFont="1" applyFill="1" applyBorder="1" applyProtection="1"/>
    <xf numFmtId="10" fontId="4" fillId="0" borderId="1" xfId="4" applyNumberFormat="1" applyFont="1" applyFill="1" applyBorder="1" applyProtection="1"/>
    <xf numFmtId="169" fontId="4" fillId="0" borderId="2" xfId="8" applyNumberFormat="1" applyFont="1" applyFill="1" applyBorder="1" applyProtection="1"/>
    <xf numFmtId="39" fontId="4" fillId="0" borderId="2" xfId="0" applyNumberFormat="1" applyFont="1" applyFill="1" applyBorder="1" applyProtection="1"/>
    <xf numFmtId="39" fontId="10" fillId="0" borderId="2" xfId="0" applyNumberFormat="1" applyFont="1" applyFill="1" applyBorder="1" applyProtection="1"/>
    <xf numFmtId="10" fontId="10" fillId="0" borderId="2" xfId="0" applyNumberFormat="1" applyFont="1" applyFill="1" applyBorder="1" applyProtection="1"/>
    <xf numFmtId="169" fontId="4" fillId="0" borderId="2" xfId="8" applyNumberFormat="1" applyFont="1" applyFill="1" applyBorder="1"/>
    <xf numFmtId="39" fontId="10" fillId="0" borderId="0" xfId="0" applyNumberFormat="1" applyFont="1" applyFill="1" applyBorder="1" applyProtection="1"/>
    <xf numFmtId="164" fontId="3" fillId="0" borderId="2" xfId="0" applyFont="1" applyFill="1" applyBorder="1"/>
    <xf numFmtId="39" fontId="4" fillId="0" borderId="2" xfId="0" applyNumberFormat="1" applyFont="1" applyFill="1" applyBorder="1"/>
    <xf numFmtId="169" fontId="3" fillId="0" borderId="0" xfId="8" applyNumberFormat="1" applyFont="1" applyFill="1" applyAlignment="1" applyProtection="1">
      <alignment horizontal="right"/>
    </xf>
    <xf numFmtId="164" fontId="0" fillId="0" borderId="0" xfId="0" applyFont="1" applyFill="1"/>
    <xf numFmtId="166" fontId="3" fillId="0" borderId="1" xfId="0" applyNumberFormat="1" applyFont="1" applyFill="1" applyBorder="1" applyProtection="1"/>
    <xf numFmtId="164" fontId="0" fillId="0" borderId="1" xfId="0" applyFont="1" applyFill="1" applyBorder="1"/>
    <xf numFmtId="166" fontId="4" fillId="0" borderId="0" xfId="0" applyNumberFormat="1" applyFont="1" applyFill="1" applyProtection="1"/>
    <xf numFmtId="164" fontId="0" fillId="0" borderId="2" xfId="0" applyFont="1" applyFill="1" applyBorder="1"/>
    <xf numFmtId="43" fontId="4" fillId="0" borderId="1" xfId="8" applyFont="1" applyFill="1" applyBorder="1" applyAlignment="1" applyProtection="1">
      <alignment horizontal="left"/>
    </xf>
    <xf numFmtId="43" fontId="0" fillId="0" borderId="1" xfId="8" applyFont="1" applyFill="1" applyBorder="1" applyAlignment="1">
      <alignment horizontal="right"/>
    </xf>
    <xf numFmtId="43" fontId="4" fillId="0" borderId="1" xfId="8" applyFont="1" applyFill="1" applyBorder="1" applyAlignment="1">
      <alignment horizontal="right"/>
    </xf>
    <xf numFmtId="164" fontId="4" fillId="0" borderId="0" xfId="0" applyFont="1" applyFill="1" applyAlignment="1">
      <alignment horizontal="left"/>
    </xf>
    <xf numFmtId="169" fontId="4" fillId="0" borderId="0" xfId="8" applyNumberFormat="1" applyFont="1" applyFill="1" applyBorder="1" applyAlignment="1" applyProtection="1">
      <alignment horizontal="right"/>
    </xf>
    <xf numFmtId="164" fontId="0" fillId="0" borderId="0" xfId="0" applyFont="1" applyFill="1" applyAlignment="1">
      <alignment horizontal="left"/>
    </xf>
    <xf numFmtId="164" fontId="0" fillId="0" borderId="0" xfId="0" applyFill="1" applyAlignment="1">
      <alignment horizontal="left"/>
    </xf>
    <xf numFmtId="169" fontId="4" fillId="0" borderId="2" xfId="8" applyNumberFormat="1" applyFont="1" applyFill="1" applyBorder="1" applyAlignment="1" applyProtection="1">
      <alignment horizontal="right"/>
    </xf>
    <xf numFmtId="164" fontId="4" fillId="0" borderId="2" xfId="0" applyFont="1" applyFill="1" applyBorder="1" applyAlignment="1" applyProtection="1">
      <alignment horizontal="right"/>
    </xf>
    <xf numFmtId="164" fontId="0" fillId="0" borderId="2" xfId="0" applyFont="1" applyFill="1" applyBorder="1" applyAlignment="1">
      <alignment horizontal="left"/>
    </xf>
    <xf numFmtId="164" fontId="0" fillId="0" borderId="2" xfId="0" applyFill="1" applyBorder="1" applyAlignment="1">
      <alignment horizontal="left"/>
    </xf>
    <xf numFmtId="164" fontId="4" fillId="0" borderId="2" xfId="0" applyFont="1" applyFill="1" applyBorder="1" applyAlignment="1">
      <alignment horizontal="left"/>
    </xf>
    <xf numFmtId="10" fontId="3" fillId="0" borderId="1" xfId="0" applyNumberFormat="1" applyFont="1" applyFill="1" applyBorder="1" applyProtection="1"/>
    <xf numFmtId="164" fontId="0" fillId="0" borderId="0" xfId="0" applyFont="1" applyFill="1" applyBorder="1"/>
    <xf numFmtId="3" fontId="4" fillId="0" borderId="0" xfId="0" applyNumberFormat="1" applyFont="1" applyFill="1" applyProtection="1"/>
    <xf numFmtId="37" fontId="4" fillId="0" borderId="0" xfId="0" applyNumberFormat="1" applyFont="1" applyFill="1" applyProtection="1"/>
    <xf numFmtId="3" fontId="4" fillId="0" borderId="1" xfId="0" applyNumberFormat="1" applyFont="1" applyFill="1" applyBorder="1" applyProtection="1"/>
    <xf numFmtId="37" fontId="4" fillId="0" borderId="1" xfId="0" applyNumberFormat="1" applyFont="1" applyFill="1" applyBorder="1" applyProtection="1"/>
    <xf numFmtId="166" fontId="4" fillId="0" borderId="1" xfId="0" applyNumberFormat="1" applyFont="1" applyFill="1" applyBorder="1" applyProtection="1"/>
    <xf numFmtId="3" fontId="10" fillId="0" borderId="1" xfId="0" applyNumberFormat="1" applyFont="1" applyFill="1" applyBorder="1" applyProtection="1"/>
    <xf numFmtId="169" fontId="10" fillId="0" borderId="1" xfId="8" applyNumberFormat="1" applyFont="1" applyFill="1" applyBorder="1"/>
    <xf numFmtId="37" fontId="10" fillId="0" borderId="1" xfId="0" applyNumberFormat="1" applyFont="1" applyFill="1" applyBorder="1" applyProtection="1"/>
    <xf numFmtId="166" fontId="10" fillId="0" borderId="1" xfId="0" applyNumberFormat="1" applyFont="1" applyFill="1" applyBorder="1" applyProtection="1"/>
    <xf numFmtId="3" fontId="4" fillId="0" borderId="0" xfId="0" applyNumberFormat="1" applyFont="1" applyFill="1" applyBorder="1" applyProtection="1"/>
    <xf numFmtId="37" fontId="4" fillId="0" borderId="0" xfId="0" applyNumberFormat="1" applyFont="1" applyFill="1" applyBorder="1" applyProtection="1"/>
    <xf numFmtId="3" fontId="10" fillId="0" borderId="0" xfId="0" applyNumberFormat="1" applyFont="1" applyFill="1" applyProtection="1"/>
    <xf numFmtId="169" fontId="10" fillId="0" borderId="0" xfId="8" applyNumberFormat="1" applyFont="1" applyFill="1"/>
    <xf numFmtId="37" fontId="10" fillId="0" borderId="0" xfId="0" applyNumberFormat="1" applyFont="1" applyFill="1" applyProtection="1"/>
    <xf numFmtId="166" fontId="10" fillId="0" borderId="0" xfId="0" applyNumberFormat="1" applyFont="1" applyFill="1" applyProtection="1"/>
    <xf numFmtId="3" fontId="4" fillId="0" borderId="2" xfId="0" applyNumberFormat="1" applyFont="1" applyFill="1" applyBorder="1" applyProtection="1"/>
    <xf numFmtId="37" fontId="4" fillId="0" borderId="2" xfId="0" applyNumberFormat="1" applyFont="1" applyFill="1" applyBorder="1" applyProtection="1"/>
    <xf numFmtId="166" fontId="4" fillId="0" borderId="2" xfId="0" applyNumberFormat="1" applyFont="1" applyFill="1" applyBorder="1" applyProtection="1"/>
    <xf numFmtId="165" fontId="4" fillId="0" borderId="0" xfId="0" applyNumberFormat="1" applyFont="1" applyFill="1" applyProtection="1"/>
    <xf numFmtId="165" fontId="22" fillId="0" borderId="0" xfId="0" applyNumberFormat="1" applyFont="1" applyFill="1" applyProtection="1"/>
    <xf numFmtId="165" fontId="4" fillId="0" borderId="2" xfId="0" applyNumberFormat="1" applyFont="1" applyFill="1" applyBorder="1" applyProtection="1"/>
    <xf numFmtId="168" fontId="4" fillId="0" borderId="2" xfId="8" applyNumberFormat="1" applyFont="1" applyFill="1" applyBorder="1" applyProtection="1"/>
    <xf numFmtId="166" fontId="10" fillId="0" borderId="0" xfId="0" applyNumberFormat="1" applyFont="1" applyFill="1" applyAlignment="1" applyProtection="1">
      <alignment horizontal="left"/>
    </xf>
    <xf numFmtId="164" fontId="4" fillId="0" borderId="6" xfId="0" applyFont="1" applyFill="1" applyBorder="1" applyAlignment="1" applyProtection="1">
      <alignment horizontal="left"/>
    </xf>
    <xf numFmtId="164" fontId="16" fillId="0" borderId="0" xfId="0" applyFont="1" applyFill="1"/>
    <xf numFmtId="3" fontId="11" fillId="0" borderId="0" xfId="0" applyNumberFormat="1" applyFont="1" applyFill="1" applyProtection="1"/>
    <xf numFmtId="166" fontId="11" fillId="0" borderId="0" xfId="0" applyNumberFormat="1" applyFont="1" applyFill="1" applyAlignment="1" applyProtection="1">
      <alignment horizontal="right"/>
    </xf>
    <xf numFmtId="10" fontId="11" fillId="0" borderId="0" xfId="0" applyNumberFormat="1" applyFont="1" applyFill="1" applyProtection="1"/>
    <xf numFmtId="166" fontId="11" fillId="0" borderId="0" xfId="0" applyNumberFormat="1" applyFont="1" applyFill="1" applyProtection="1"/>
    <xf numFmtId="3" fontId="11" fillId="0" borderId="1" xfId="0" applyNumberFormat="1" applyFont="1" applyFill="1" applyBorder="1" applyProtection="1"/>
    <xf numFmtId="166" fontId="11" fillId="0" borderId="1" xfId="0" applyNumberFormat="1" applyFont="1" applyFill="1" applyBorder="1" applyAlignment="1" applyProtection="1">
      <alignment horizontal="right"/>
    </xf>
    <xf numFmtId="10" fontId="11" fillId="0" borderId="1" xfId="0" applyNumberFormat="1" applyFont="1" applyFill="1" applyBorder="1" applyProtection="1"/>
    <xf numFmtId="3" fontId="11" fillId="0" borderId="0" xfId="0" applyNumberFormat="1" applyFont="1" applyFill="1" applyBorder="1" applyAlignment="1" applyProtection="1">
      <alignment horizontal="fill"/>
    </xf>
    <xf numFmtId="3" fontId="11" fillId="0" borderId="0" xfId="0" applyNumberFormat="1" applyFont="1" applyFill="1" applyBorder="1" applyProtection="1"/>
    <xf numFmtId="3" fontId="11" fillId="0" borderId="9" xfId="0" applyNumberFormat="1" applyFont="1" applyFill="1" applyBorder="1" applyAlignment="1" applyProtection="1">
      <alignment horizontal="fill"/>
    </xf>
    <xf numFmtId="165" fontId="11" fillId="0" borderId="0" xfId="0" applyNumberFormat="1" applyFont="1" applyFill="1" applyAlignment="1" applyProtection="1">
      <alignment horizontal="right"/>
    </xf>
    <xf numFmtId="3" fontId="11" fillId="0" borderId="2" xfId="0" applyNumberFormat="1" applyFont="1" applyFill="1" applyBorder="1" applyProtection="1"/>
    <xf numFmtId="4" fontId="11" fillId="0" borderId="2" xfId="0" applyNumberFormat="1" applyFont="1" applyFill="1" applyBorder="1" applyAlignment="1" applyProtection="1">
      <alignment horizontal="right"/>
    </xf>
    <xf numFmtId="10" fontId="11" fillId="0" borderId="2" xfId="0" applyNumberFormat="1" applyFont="1" applyFill="1" applyBorder="1" applyProtection="1"/>
    <xf numFmtId="164" fontId="11" fillId="0" borderId="6" xfId="0" applyFont="1" applyFill="1" applyBorder="1" applyAlignment="1" applyProtection="1">
      <alignment horizontal="left"/>
    </xf>
    <xf numFmtId="164" fontId="4" fillId="0" borderId="0" xfId="0" applyFont="1" applyFill="1" applyBorder="1" applyAlignment="1">
      <alignment horizontal="centerContinuous"/>
    </xf>
    <xf numFmtId="169" fontId="10" fillId="0" borderId="0" xfId="8" applyNumberFormat="1" applyFont="1" applyFill="1" applyProtection="1"/>
    <xf numFmtId="171" fontId="4" fillId="0" borderId="0" xfId="0" applyNumberFormat="1" applyFont="1" applyFill="1" applyProtection="1"/>
    <xf numFmtId="164" fontId="13" fillId="0" borderId="0" xfId="0" applyFont="1" applyFill="1" applyBorder="1"/>
    <xf numFmtId="164" fontId="33" fillId="4" borderId="23" xfId="11" applyNumberFormat="1" applyAlignment="1" applyProtection="1">
      <alignment horizontal="right"/>
    </xf>
    <xf numFmtId="164" fontId="1" fillId="0" borderId="0" xfId="0" applyFont="1" applyFill="1"/>
    <xf numFmtId="49" fontId="11" fillId="0" borderId="0" xfId="3" applyNumberFormat="1" applyFont="1" applyFill="1" applyAlignment="1">
      <alignment horizontal="right"/>
    </xf>
    <xf numFmtId="0" fontId="11" fillId="0" borderId="0" xfId="3" applyFont="1" applyFill="1"/>
    <xf numFmtId="169" fontId="16" fillId="0" borderId="0" xfId="1" applyNumberFormat="1" applyFont="1" applyFill="1" applyAlignment="1">
      <alignment horizontal="left" indent="1"/>
    </xf>
    <xf numFmtId="169" fontId="11" fillId="0" borderId="0" xfId="1" applyNumberFormat="1" applyFont="1" applyFill="1" applyAlignment="1">
      <alignment horizontal="left" indent="1"/>
    </xf>
    <xf numFmtId="169" fontId="16" fillId="0" borderId="0" xfId="1" applyNumberFormat="1" applyFont="1" applyFill="1" applyBorder="1" applyAlignment="1">
      <alignment horizontal="left" indent="1"/>
    </xf>
    <xf numFmtId="49" fontId="16" fillId="0" borderId="0" xfId="3" applyNumberFormat="1" applyFont="1" applyFill="1" applyBorder="1" applyAlignment="1">
      <alignment horizontal="left"/>
    </xf>
    <xf numFmtId="0" fontId="16" fillId="0" borderId="0" xfId="3" applyFont="1" applyFill="1" applyBorder="1" applyAlignment="1">
      <alignment horizontal="center"/>
    </xf>
    <xf numFmtId="0" fontId="11" fillId="0" borderId="0" xfId="3" applyFont="1" applyFill="1" applyAlignment="1">
      <alignment horizontal="right"/>
    </xf>
    <xf numFmtId="49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 applyAlignment="1">
      <alignment horizontal="center"/>
    </xf>
    <xf numFmtId="169" fontId="35" fillId="4" borderId="23" xfId="11" applyNumberFormat="1" applyFont="1" applyAlignment="1">
      <alignment horizontal="center"/>
    </xf>
    <xf numFmtId="177" fontId="35" fillId="4" borderId="23" xfId="11" applyNumberFormat="1" applyFont="1" applyAlignment="1">
      <alignment horizontal="right"/>
    </xf>
    <xf numFmtId="49" fontId="11" fillId="0" borderId="0" xfId="3" applyNumberFormat="1" applyFont="1" applyFill="1" applyBorder="1"/>
    <xf numFmtId="0" fontId="11" fillId="0" borderId="0" xfId="3" applyFont="1" applyFill="1" applyBorder="1" applyAlignment="1">
      <alignment horizontal="left"/>
    </xf>
    <xf numFmtId="164" fontId="35" fillId="4" borderId="23" xfId="11" applyNumberFormat="1" applyFont="1" applyAlignment="1" applyProtection="1">
      <alignment horizontal="right"/>
    </xf>
    <xf numFmtId="178" fontId="35" fillId="4" borderId="23" xfId="11" applyNumberFormat="1" applyFont="1" applyAlignment="1" applyProtection="1">
      <alignment horizontal="right"/>
    </xf>
    <xf numFmtId="0" fontId="11" fillId="0" borderId="0" xfId="3" applyFont="1" applyFill="1" applyBorder="1"/>
    <xf numFmtId="49" fontId="16" fillId="0" borderId="0" xfId="3" applyNumberFormat="1" applyFont="1" applyFill="1" applyBorder="1"/>
    <xf numFmtId="0" fontId="16" fillId="0" borderId="0" xfId="3" applyFont="1" applyFill="1" applyBorder="1" applyAlignment="1">
      <alignment horizontal="left"/>
    </xf>
    <xf numFmtId="172" fontId="35" fillId="4" borderId="23" xfId="11" applyNumberFormat="1" applyFont="1" applyAlignment="1" applyProtection="1">
      <alignment horizontal="right"/>
      <protection locked="0"/>
    </xf>
    <xf numFmtId="179" fontId="11" fillId="0" borderId="0" xfId="3" applyNumberFormat="1" applyFont="1" applyFill="1" applyAlignment="1">
      <alignment horizontal="right"/>
    </xf>
    <xf numFmtId="49" fontId="11" fillId="0" borderId="0" xfId="3" applyNumberFormat="1" applyFont="1" applyFill="1"/>
    <xf numFmtId="169" fontId="11" fillId="0" borderId="0" xfId="1" applyNumberFormat="1" applyFont="1" applyFill="1" applyProtection="1"/>
    <xf numFmtId="49" fontId="11" fillId="0" borderId="1" xfId="3" applyNumberFormat="1" applyFont="1" applyFill="1" applyBorder="1"/>
    <xf numFmtId="0" fontId="16" fillId="0" borderId="1" xfId="3" applyFont="1" applyFill="1" applyBorder="1" applyAlignment="1" applyProtection="1">
      <alignment horizontal="left"/>
    </xf>
    <xf numFmtId="169" fontId="11" fillId="0" borderId="1" xfId="1" applyNumberFormat="1" applyFont="1" applyFill="1" applyBorder="1" applyProtection="1"/>
    <xf numFmtId="49" fontId="11" fillId="0" borderId="0" xfId="1" applyNumberFormat="1" applyFont="1" applyFill="1" applyAlignment="1">
      <alignment horizontal="right"/>
    </xf>
    <xf numFmtId="0" fontId="11" fillId="0" borderId="0" xfId="3" applyFont="1" applyFill="1" applyAlignment="1" applyProtection="1">
      <alignment horizontal="left"/>
    </xf>
    <xf numFmtId="37" fontId="35" fillId="4" borderId="23" xfId="11" applyNumberFormat="1" applyFont="1" applyAlignment="1" applyProtection="1">
      <alignment horizontal="right"/>
      <protection locked="0"/>
    </xf>
    <xf numFmtId="37" fontId="11" fillId="0" borderId="0" xfId="1" applyNumberFormat="1" applyFont="1" applyFill="1" applyAlignment="1" applyProtection="1">
      <alignment horizontal="right"/>
      <protection locked="0"/>
    </xf>
    <xf numFmtId="49" fontId="11" fillId="0" borderId="1" xfId="1" applyNumberFormat="1" applyFont="1" applyFill="1" applyBorder="1" applyAlignment="1">
      <alignment horizontal="right"/>
    </xf>
    <xf numFmtId="0" fontId="11" fillId="0" borderId="1" xfId="3" applyFont="1" applyFill="1" applyBorder="1" applyAlignment="1" applyProtection="1">
      <alignment horizontal="left"/>
    </xf>
    <xf numFmtId="37" fontId="35" fillId="4" borderId="25" xfId="11" applyNumberFormat="1" applyFont="1" applyBorder="1" applyAlignment="1" applyProtection="1">
      <alignment horizontal="right"/>
      <protection locked="0"/>
    </xf>
    <xf numFmtId="37" fontId="11" fillId="0" borderId="1" xfId="1" applyNumberFormat="1" applyFont="1" applyFill="1" applyBorder="1" applyAlignment="1" applyProtection="1">
      <alignment horizontal="right"/>
      <protection locked="0"/>
    </xf>
    <xf numFmtId="37" fontId="11" fillId="0" borderId="1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right"/>
    </xf>
    <xf numFmtId="0" fontId="11" fillId="0" borderId="0" xfId="3" applyFont="1" applyFill="1" applyBorder="1" applyAlignment="1" applyProtection="1">
      <alignment horizontal="left"/>
    </xf>
    <xf numFmtId="37" fontId="35" fillId="4" borderId="28" xfId="11" applyNumberFormat="1" applyFont="1" applyBorder="1" applyAlignment="1" applyProtection="1">
      <alignment horizontal="right"/>
    </xf>
    <xf numFmtId="49" fontId="16" fillId="0" borderId="0" xfId="1" applyNumberFormat="1" applyFont="1" applyFill="1" applyBorder="1" applyAlignment="1">
      <alignment horizontal="right"/>
    </xf>
    <xf numFmtId="0" fontId="16" fillId="0" borderId="0" xfId="3" applyFont="1" applyFill="1"/>
    <xf numFmtId="37" fontId="16" fillId="0" borderId="0" xfId="1" applyNumberFormat="1" applyFont="1" applyFill="1" applyBorder="1" applyAlignment="1" applyProtection="1">
      <alignment horizontal="right"/>
    </xf>
    <xf numFmtId="49" fontId="11" fillId="0" borderId="2" xfId="1" applyNumberFormat="1" applyFont="1" applyFill="1" applyBorder="1" applyAlignment="1">
      <alignment horizontal="right"/>
    </xf>
    <xf numFmtId="0" fontId="11" fillId="0" borderId="2" xfId="3" applyFont="1" applyFill="1" applyBorder="1" applyAlignment="1" applyProtection="1">
      <alignment horizontal="left"/>
    </xf>
    <xf numFmtId="37" fontId="35" fillId="4" borderId="26" xfId="11" applyNumberFormat="1" applyFont="1" applyBorder="1" applyAlignment="1" applyProtection="1">
      <alignment horizontal="right"/>
    </xf>
    <xf numFmtId="37" fontId="11" fillId="0" borderId="2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/>
    <xf numFmtId="37" fontId="11" fillId="0" borderId="0" xfId="1" applyNumberFormat="1" applyFont="1" applyFill="1" applyAlignment="1" applyProtection="1">
      <alignment horizontal="right"/>
    </xf>
    <xf numFmtId="49" fontId="11" fillId="0" borderId="2" xfId="1" applyNumberFormat="1" applyFont="1" applyFill="1" applyBorder="1"/>
    <xf numFmtId="0" fontId="16" fillId="0" borderId="2" xfId="3" applyFont="1" applyFill="1" applyBorder="1" applyAlignment="1" applyProtection="1">
      <alignment horizontal="left"/>
    </xf>
    <xf numFmtId="37" fontId="35" fillId="4" borderId="26" xfId="11" applyNumberFormat="1" applyFont="1" applyBorder="1" applyAlignment="1" applyProtection="1">
      <alignment horizontal="right"/>
      <protection locked="0"/>
    </xf>
    <xf numFmtId="37" fontId="11" fillId="0" borderId="2" xfId="1" applyNumberFormat="1" applyFont="1" applyFill="1" applyBorder="1" applyAlignment="1" applyProtection="1">
      <alignment horizontal="right"/>
      <protection locked="0"/>
    </xf>
    <xf numFmtId="169" fontId="11" fillId="0" borderId="0" xfId="1" applyNumberFormat="1" applyFont="1" applyFill="1" applyAlignment="1" applyProtection="1">
      <alignment horizontal="right"/>
    </xf>
    <xf numFmtId="0" fontId="16" fillId="0" borderId="0" xfId="3" applyFont="1" applyFill="1" applyBorder="1" applyAlignment="1" applyProtection="1">
      <alignment horizontal="left"/>
    </xf>
    <xf numFmtId="49" fontId="11" fillId="0" borderId="1" xfId="3" applyNumberFormat="1" applyFont="1" applyFill="1" applyBorder="1" applyAlignment="1" applyProtection="1">
      <alignment horizontal="right"/>
    </xf>
    <xf numFmtId="169" fontId="11" fillId="0" borderId="1" xfId="1" applyNumberFormat="1" applyFont="1" applyFill="1" applyBorder="1" applyAlignment="1" applyProtection="1">
      <alignment horizontal="right"/>
    </xf>
    <xf numFmtId="49" fontId="11" fillId="0" borderId="0" xfId="3" applyNumberFormat="1" applyFont="1" applyFill="1" applyBorder="1" applyAlignment="1" applyProtection="1">
      <alignment horizontal="right"/>
    </xf>
    <xf numFmtId="165" fontId="11" fillId="0" borderId="0" xfId="3" applyNumberFormat="1" applyFont="1" applyFill="1" applyBorder="1" applyAlignment="1" applyProtection="1">
      <alignment horizontal="left"/>
    </xf>
    <xf numFmtId="170" fontId="35" fillId="4" borderId="23" xfId="11" applyNumberFormat="1" applyFont="1" applyAlignment="1" applyProtection="1">
      <alignment horizontal="right"/>
      <protection locked="0"/>
    </xf>
    <xf numFmtId="170" fontId="11" fillId="0" borderId="0" xfId="1" applyNumberFormat="1" applyFont="1" applyFill="1" applyAlignment="1" applyProtection="1">
      <alignment horizontal="right"/>
      <protection locked="0"/>
    </xf>
    <xf numFmtId="165" fontId="11" fillId="0" borderId="1" xfId="3" applyNumberFormat="1" applyFont="1" applyFill="1" applyBorder="1" applyAlignment="1" applyProtection="1">
      <alignment horizontal="left"/>
    </xf>
    <xf numFmtId="170" fontId="35" fillId="4" borderId="26" xfId="11" applyNumberFormat="1" applyFont="1" applyBorder="1" applyAlignment="1" applyProtection="1">
      <alignment horizontal="right"/>
      <protection locked="0"/>
    </xf>
    <xf numFmtId="170" fontId="11" fillId="0" borderId="1" xfId="1" applyNumberFormat="1" applyFont="1" applyFill="1" applyBorder="1" applyAlignment="1" applyProtection="1">
      <alignment horizontal="right"/>
      <protection locked="0"/>
    </xf>
    <xf numFmtId="49" fontId="11" fillId="0" borderId="2" xfId="3" applyNumberFormat="1" applyFont="1" applyFill="1" applyBorder="1" applyAlignment="1" applyProtection="1">
      <alignment horizontal="right"/>
    </xf>
    <xf numFmtId="165" fontId="11" fillId="0" borderId="2" xfId="3" applyNumberFormat="1" applyFont="1" applyFill="1" applyBorder="1" applyAlignment="1" applyProtection="1">
      <alignment horizontal="left"/>
    </xf>
    <xf numFmtId="170" fontId="11" fillId="0" borderId="2" xfId="1" applyNumberFormat="1" applyFont="1" applyFill="1" applyBorder="1" applyAlignment="1" applyProtection="1">
      <alignment horizontal="right"/>
    </xf>
    <xf numFmtId="49" fontId="11" fillId="0" borderId="0" xfId="3" applyNumberFormat="1" applyFont="1" applyFill="1" applyBorder="1" applyAlignment="1" applyProtection="1">
      <alignment horizontal="fill"/>
    </xf>
    <xf numFmtId="49" fontId="11" fillId="0" borderId="1" xfId="3" applyNumberFormat="1" applyFont="1" applyFill="1" applyBorder="1" applyAlignment="1">
      <alignment horizontal="center"/>
    </xf>
    <xf numFmtId="49" fontId="11" fillId="0" borderId="3" xfId="3" applyNumberFormat="1" applyFont="1" applyFill="1" applyBorder="1" applyAlignment="1">
      <alignment horizontal="center"/>
    </xf>
    <xf numFmtId="0" fontId="11" fillId="0" borderId="3" xfId="3" applyFont="1" applyFill="1" applyBorder="1" applyAlignment="1" applyProtection="1">
      <alignment horizontal="left"/>
    </xf>
    <xf numFmtId="10" fontId="11" fillId="0" borderId="3" xfId="4" applyNumberFormat="1" applyFont="1" applyFill="1" applyBorder="1" applyAlignment="1">
      <alignment horizontal="right"/>
    </xf>
    <xf numFmtId="49" fontId="11" fillId="0" borderId="0" xfId="3" applyNumberFormat="1" applyFont="1" applyFill="1" applyBorder="1" applyAlignment="1">
      <alignment horizontal="center"/>
    </xf>
    <xf numFmtId="37" fontId="11" fillId="0" borderId="0" xfId="1" applyNumberFormat="1" applyFont="1" applyFill="1" applyBorder="1" applyAlignment="1" applyProtection="1">
      <alignment horizontal="right"/>
    </xf>
    <xf numFmtId="49" fontId="11" fillId="0" borderId="1" xfId="1" applyNumberFormat="1" applyFont="1" applyFill="1" applyBorder="1" applyAlignment="1">
      <alignment horizontal="center"/>
    </xf>
    <xf numFmtId="169" fontId="11" fillId="0" borderId="1" xfId="1" applyNumberFormat="1" applyFont="1" applyFill="1" applyBorder="1" applyAlignment="1" applyProtection="1">
      <alignment horizontal="left"/>
    </xf>
    <xf numFmtId="49" fontId="11" fillId="0" borderId="0" xfId="1" applyNumberFormat="1" applyFont="1" applyFill="1" applyAlignment="1">
      <alignment horizontal="center"/>
    </xf>
    <xf numFmtId="169" fontId="11" fillId="0" borderId="0" xfId="1" applyNumberFormat="1" applyFont="1" applyFill="1" applyAlignment="1" applyProtection="1">
      <alignment horizontal="left"/>
    </xf>
    <xf numFmtId="49" fontId="11" fillId="0" borderId="4" xfId="1" applyNumberFormat="1" applyFont="1" applyFill="1" applyBorder="1" applyAlignment="1">
      <alignment horizontal="center"/>
    </xf>
    <xf numFmtId="169" fontId="11" fillId="0" borderId="4" xfId="1" applyNumberFormat="1" applyFont="1" applyFill="1" applyBorder="1" applyAlignment="1" applyProtection="1">
      <alignment horizontal="left"/>
    </xf>
    <xf numFmtId="37" fontId="35" fillId="4" borderId="27" xfId="11" applyNumberFormat="1" applyFont="1" applyBorder="1" applyAlignment="1" applyProtection="1">
      <alignment horizontal="right"/>
      <protection locked="0"/>
    </xf>
    <xf numFmtId="37" fontId="11" fillId="0" borderId="4" xfId="1" applyNumberFormat="1" applyFont="1" applyFill="1" applyBorder="1" applyAlignment="1" applyProtection="1">
      <alignment horizontal="right"/>
      <protection locked="0"/>
    </xf>
    <xf numFmtId="49" fontId="11" fillId="0" borderId="3" xfId="1" applyNumberFormat="1" applyFont="1" applyFill="1" applyBorder="1" applyAlignment="1">
      <alignment horizontal="center"/>
    </xf>
    <xf numFmtId="169" fontId="11" fillId="0" borderId="3" xfId="1" applyNumberFormat="1" applyFont="1" applyFill="1" applyBorder="1" applyAlignment="1" applyProtection="1">
      <alignment horizontal="left"/>
    </xf>
    <xf numFmtId="37" fontId="11" fillId="0" borderId="3" xfId="1" applyNumberFormat="1" applyFont="1" applyFill="1" applyBorder="1" applyAlignment="1" applyProtection="1">
      <alignment horizontal="right"/>
    </xf>
    <xf numFmtId="49" fontId="11" fillId="0" borderId="5" xfId="1" applyNumberFormat="1" applyFont="1" applyFill="1" applyBorder="1" applyAlignment="1">
      <alignment horizontal="center"/>
    </xf>
    <xf numFmtId="169" fontId="11" fillId="0" borderId="5" xfId="1" applyNumberFormat="1" applyFont="1" applyFill="1" applyBorder="1" applyAlignment="1" applyProtection="1">
      <alignment horizontal="left"/>
    </xf>
    <xf numFmtId="49" fontId="11" fillId="0" borderId="1" xfId="3" applyNumberFormat="1" applyFont="1" applyFill="1" applyBorder="1" applyAlignment="1" applyProtection="1">
      <alignment horizontal="fill"/>
    </xf>
    <xf numFmtId="169" fontId="11" fillId="0" borderId="0" xfId="1" applyNumberFormat="1" applyFont="1" applyFill="1" applyBorder="1" applyAlignment="1" applyProtection="1">
      <alignment horizontal="right"/>
    </xf>
    <xf numFmtId="49" fontId="11" fillId="0" borderId="1" xfId="1" applyNumberFormat="1" applyFont="1" applyFill="1" applyBorder="1"/>
    <xf numFmtId="39" fontId="11" fillId="0" borderId="1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/>
    <xf numFmtId="169" fontId="11" fillId="0" borderId="2" xfId="1" applyNumberFormat="1" applyFont="1" applyFill="1" applyBorder="1" applyAlignment="1" applyProtection="1">
      <alignment horizontal="left"/>
    </xf>
    <xf numFmtId="49" fontId="11" fillId="0" borderId="6" xfId="1" applyNumberFormat="1" applyFont="1" applyFill="1" applyBorder="1"/>
    <xf numFmtId="169" fontId="11" fillId="0" borderId="6" xfId="1" applyNumberFormat="1" applyFont="1" applyFill="1" applyBorder="1" applyAlignment="1" applyProtection="1">
      <alignment horizontal="left"/>
    </xf>
    <xf numFmtId="37" fontId="11" fillId="0" borderId="6" xfId="1" applyNumberFormat="1" applyFont="1" applyFill="1" applyBorder="1" applyAlignment="1" applyProtection="1">
      <alignment horizontal="right"/>
      <protection locked="0"/>
    </xf>
    <xf numFmtId="169" fontId="16" fillId="0" borderId="2" xfId="1" applyNumberFormat="1" applyFont="1" applyFill="1" applyBorder="1" applyAlignment="1" applyProtection="1">
      <alignment horizontal="left"/>
    </xf>
    <xf numFmtId="49" fontId="11" fillId="0" borderId="0" xfId="4" applyNumberFormat="1" applyFont="1" applyFill="1" applyBorder="1" applyAlignment="1" applyProtection="1">
      <alignment horizontal="right"/>
    </xf>
    <xf numFmtId="10" fontId="11" fillId="0" borderId="0" xfId="4" applyNumberFormat="1" applyFont="1" applyFill="1" applyBorder="1" applyAlignment="1" applyProtection="1">
      <alignment horizontal="left"/>
    </xf>
    <xf numFmtId="49" fontId="11" fillId="0" borderId="1" xfId="4" applyNumberFormat="1" applyFont="1" applyFill="1" applyBorder="1" applyAlignment="1" applyProtection="1">
      <alignment horizontal="right"/>
    </xf>
    <xf numFmtId="10" fontId="11" fillId="0" borderId="1" xfId="4" applyNumberFormat="1" applyFont="1" applyFill="1" applyBorder="1" applyAlignment="1" applyProtection="1">
      <alignment horizontal="left"/>
    </xf>
    <xf numFmtId="49" fontId="11" fillId="0" borderId="2" xfId="4" applyNumberFormat="1" applyFont="1" applyFill="1" applyBorder="1" applyAlignment="1" applyProtection="1">
      <alignment horizontal="right"/>
    </xf>
    <xf numFmtId="10" fontId="11" fillId="0" borderId="2" xfId="4" applyNumberFormat="1" applyFont="1" applyFill="1" applyBorder="1" applyAlignment="1" applyProtection="1">
      <alignment horizontal="left"/>
    </xf>
    <xf numFmtId="0" fontId="11" fillId="0" borderId="0" xfId="3" applyFont="1" applyFill="1" applyBorder="1" applyAlignment="1" applyProtection="1">
      <alignment horizontal="fill"/>
    </xf>
    <xf numFmtId="174" fontId="11" fillId="0" borderId="0" xfId="1" applyNumberFormat="1" applyFont="1" applyFill="1" applyAlignment="1" applyProtection="1">
      <alignment horizontal="right"/>
    </xf>
    <xf numFmtId="174" fontId="11" fillId="0" borderId="1" xfId="1" applyNumberFormat="1" applyFont="1" applyFill="1" applyBorder="1" applyAlignment="1" applyProtection="1">
      <alignment horizontal="right"/>
    </xf>
    <xf numFmtId="165" fontId="11" fillId="0" borderId="0" xfId="3" applyNumberFormat="1" applyFont="1" applyFill="1" applyAlignment="1" applyProtection="1">
      <alignment horizontal="left"/>
    </xf>
    <xf numFmtId="174" fontId="11" fillId="0" borderId="0" xfId="1" applyNumberFormat="1" applyFont="1" applyFill="1" applyBorder="1" applyAlignment="1" applyProtection="1">
      <alignment horizontal="right"/>
    </xf>
    <xf numFmtId="49" fontId="11" fillId="0" borderId="2" xfId="3" applyNumberFormat="1" applyFont="1" applyFill="1" applyBorder="1"/>
    <xf numFmtId="174" fontId="11" fillId="0" borderId="2" xfId="1" applyNumberFormat="1" applyFont="1" applyFill="1" applyBorder="1" applyAlignment="1" applyProtection="1">
      <alignment horizontal="right"/>
    </xf>
    <xf numFmtId="49" fontId="11" fillId="0" borderId="2" xfId="1" applyNumberFormat="1" applyFont="1" applyFill="1" applyBorder="1" applyAlignment="1" applyProtection="1">
      <alignment horizontal="fill"/>
    </xf>
    <xf numFmtId="43" fontId="16" fillId="0" borderId="2" xfId="1" applyNumberFormat="1" applyFont="1" applyFill="1" applyBorder="1" applyAlignment="1" applyProtection="1">
      <alignment horizontal="left"/>
    </xf>
    <xf numFmtId="166" fontId="11" fillId="0" borderId="0" xfId="1" applyNumberFormat="1" applyFont="1" applyFill="1" applyBorder="1" applyAlignment="1" applyProtection="1">
      <alignment horizontal="right"/>
    </xf>
    <xf numFmtId="43" fontId="11" fillId="0" borderId="0" xfId="1" applyNumberFormat="1" applyFont="1" applyFill="1" applyBorder="1" applyAlignment="1" applyProtection="1">
      <alignment horizontal="right"/>
    </xf>
    <xf numFmtId="165" fontId="16" fillId="0" borderId="1" xfId="3" applyNumberFormat="1" applyFont="1" applyFill="1" applyBorder="1" applyAlignment="1" applyProtection="1">
      <alignment horizontal="left"/>
    </xf>
    <xf numFmtId="43" fontId="11" fillId="0" borderId="1" xfId="1" applyNumberFormat="1" applyFont="1" applyFill="1" applyBorder="1" applyAlignment="1" applyProtection="1">
      <alignment horizontal="right"/>
    </xf>
    <xf numFmtId="174" fontId="11" fillId="0" borderId="2" xfId="3" applyNumberFormat="1" applyFont="1" applyFill="1" applyBorder="1" applyAlignment="1" applyProtection="1">
      <alignment horizontal="right"/>
    </xf>
    <xf numFmtId="10" fontId="11" fillId="0" borderId="0" xfId="3" applyNumberFormat="1" applyFont="1" applyFill="1" applyAlignment="1" applyProtection="1">
      <alignment horizontal="right"/>
    </xf>
    <xf numFmtId="10" fontId="11" fillId="0" borderId="2" xfId="3" applyNumberFormat="1" applyFont="1" applyFill="1" applyBorder="1" applyAlignment="1" applyProtection="1">
      <alignment horizontal="right"/>
    </xf>
    <xf numFmtId="49" fontId="11" fillId="0" borderId="6" xfId="3" applyNumberFormat="1" applyFont="1" applyFill="1" applyBorder="1" applyAlignment="1" applyProtection="1">
      <alignment horizontal="fill"/>
    </xf>
    <xf numFmtId="0" fontId="11" fillId="0" borderId="6" xfId="3" applyFont="1" applyFill="1" applyBorder="1" applyAlignment="1" applyProtection="1">
      <alignment horizontal="fill"/>
    </xf>
    <xf numFmtId="169" fontId="11" fillId="0" borderId="0" xfId="1" applyNumberFormat="1" applyFont="1" applyFill="1" applyBorder="1" applyProtection="1"/>
    <xf numFmtId="39" fontId="11" fillId="0" borderId="0" xfId="1" applyNumberFormat="1" applyFont="1" applyFill="1" applyAlignment="1" applyProtection="1">
      <alignment horizontal="right"/>
    </xf>
    <xf numFmtId="39" fontId="11" fillId="0" borderId="2" xfId="1" applyNumberFormat="1" applyFont="1" applyFill="1" applyBorder="1" applyAlignment="1" applyProtection="1">
      <alignment horizontal="right"/>
    </xf>
    <xf numFmtId="169" fontId="16" fillId="0" borderId="1" xfId="1" applyNumberFormat="1" applyFont="1" applyFill="1" applyBorder="1" applyAlignment="1" applyProtection="1">
      <alignment horizontal="left"/>
    </xf>
    <xf numFmtId="169" fontId="11" fillId="0" borderId="0" xfId="1" applyNumberFormat="1" applyFont="1" applyFill="1" applyBorder="1" applyAlignment="1" applyProtection="1">
      <alignment horizontal="left"/>
    </xf>
    <xf numFmtId="49" fontId="11" fillId="0" borderId="7" xfId="1" applyNumberFormat="1" applyFont="1" applyFill="1" applyBorder="1"/>
    <xf numFmtId="169" fontId="11" fillId="0" borderId="7" xfId="1" applyNumberFormat="1" applyFont="1" applyFill="1" applyBorder="1" applyAlignment="1" applyProtection="1">
      <alignment horizontal="left"/>
    </xf>
    <xf numFmtId="37" fontId="11" fillId="0" borderId="7" xfId="1" applyNumberFormat="1" applyFont="1" applyFill="1" applyBorder="1" applyAlignment="1" applyProtection="1">
      <alignment horizontal="right"/>
    </xf>
    <xf numFmtId="49" fontId="11" fillId="0" borderId="8" xfId="1" applyNumberFormat="1" applyFont="1" applyFill="1" applyBorder="1"/>
    <xf numFmtId="169" fontId="11" fillId="0" borderId="8" xfId="1" applyNumberFormat="1" applyFont="1" applyFill="1" applyBorder="1" applyAlignment="1" applyProtection="1">
      <alignment horizontal="left"/>
    </xf>
    <xf numFmtId="37" fontId="11" fillId="0" borderId="8" xfId="1" applyNumberFormat="1" applyFont="1" applyFill="1" applyBorder="1" applyAlignment="1" applyProtection="1">
      <alignment horizontal="right"/>
    </xf>
    <xf numFmtId="49" fontId="16" fillId="0" borderId="1" xfId="3" applyNumberFormat="1" applyFont="1" applyFill="1" applyBorder="1"/>
    <xf numFmtId="169" fontId="11" fillId="0" borderId="2" xfId="1" applyNumberFormat="1" applyFont="1" applyFill="1" applyBorder="1" applyAlignment="1" applyProtection="1">
      <alignment horizontal="right"/>
    </xf>
    <xf numFmtId="37" fontId="11" fillId="0" borderId="0" xfId="3" applyNumberFormat="1" applyFont="1" applyFill="1" applyAlignment="1" applyProtection="1">
      <alignment horizontal="left"/>
    </xf>
    <xf numFmtId="37" fontId="16" fillId="0" borderId="1" xfId="3" applyNumberFormat="1" applyFont="1" applyFill="1" applyBorder="1" applyAlignment="1" applyProtection="1">
      <alignment horizontal="left"/>
    </xf>
    <xf numFmtId="49" fontId="11" fillId="0" borderId="2" xfId="4" applyNumberFormat="1" applyFont="1" applyFill="1" applyBorder="1"/>
    <xf numFmtId="43" fontId="11" fillId="0" borderId="1" xfId="1" applyFont="1" applyFill="1" applyBorder="1" applyAlignment="1" applyProtection="1">
      <alignment horizontal="right"/>
    </xf>
    <xf numFmtId="0" fontId="11" fillId="0" borderId="0" xfId="3" applyFont="1" applyFill="1" applyProtection="1"/>
    <xf numFmtId="49" fontId="16" fillId="0" borderId="0" xfId="3" applyNumberFormat="1" applyFont="1" applyFill="1" applyAlignment="1">
      <alignment horizontal="center"/>
    </xf>
    <xf numFmtId="0" fontId="16" fillId="0" borderId="0" xfId="3" applyFont="1" applyFill="1" applyAlignment="1">
      <alignment horizontal="center"/>
    </xf>
    <xf numFmtId="0" fontId="11" fillId="0" borderId="0" xfId="3" applyFont="1" applyFill="1" applyAlignment="1">
      <alignment horizontal="center"/>
    </xf>
    <xf numFmtId="164" fontId="11" fillId="0" borderId="0" xfId="3" applyNumberFormat="1" applyFont="1" applyFill="1" applyBorder="1" applyAlignment="1" applyProtection="1">
      <alignment horizontal="center"/>
    </xf>
    <xf numFmtId="172" fontId="11" fillId="0" borderId="0" xfId="1" applyNumberFormat="1" applyFont="1" applyFill="1" applyBorder="1" applyAlignment="1" applyProtection="1">
      <alignment horizontal="center"/>
    </xf>
    <xf numFmtId="169" fontId="11" fillId="0" borderId="0" xfId="1" applyNumberFormat="1" applyFont="1" applyFill="1" applyBorder="1" applyAlignment="1">
      <alignment horizontal="center"/>
    </xf>
    <xf numFmtId="164" fontId="16" fillId="0" borderId="0" xfId="3" applyNumberFormat="1" applyFont="1" applyFill="1" applyBorder="1" applyAlignment="1" applyProtection="1">
      <alignment horizontal="center"/>
    </xf>
    <xf numFmtId="164" fontId="16" fillId="0" borderId="0" xfId="3" applyNumberFormat="1" applyFont="1" applyFill="1" applyBorder="1" applyAlignment="1" applyProtection="1">
      <alignment horizontal="center"/>
      <protection locked="0"/>
    </xf>
    <xf numFmtId="182" fontId="11" fillId="0" borderId="0" xfId="1" applyNumberFormat="1" applyFont="1" applyFill="1" applyBorder="1" applyAlignment="1" applyProtection="1">
      <alignment horizontal="center"/>
      <protection locked="0"/>
    </xf>
    <xf numFmtId="172" fontId="11" fillId="0" borderId="0" xfId="1" applyNumberFormat="1" applyFont="1" applyFill="1" applyBorder="1" applyAlignment="1" applyProtection="1">
      <alignment horizontal="center"/>
      <protection locked="0"/>
    </xf>
    <xf numFmtId="169" fontId="11" fillId="0" borderId="0" xfId="10" applyNumberFormat="1" applyFont="1" applyFill="1" applyAlignment="1" applyProtection="1">
      <alignment horizontal="right"/>
      <protection locked="0"/>
    </xf>
    <xf numFmtId="37" fontId="11" fillId="0" borderId="0" xfId="10" applyNumberFormat="1" applyFont="1" applyFill="1" applyAlignment="1" applyProtection="1">
      <alignment horizontal="right"/>
    </xf>
    <xf numFmtId="37" fontId="36" fillId="0" borderId="0" xfId="10" applyNumberFormat="1" applyFont="1" applyFill="1" applyAlignment="1" applyProtection="1">
      <alignment horizontal="right"/>
      <protection locked="0"/>
    </xf>
    <xf numFmtId="169" fontId="11" fillId="0" borderId="1" xfId="10" applyNumberFormat="1" applyFont="1" applyFill="1" applyBorder="1" applyAlignment="1" applyProtection="1">
      <alignment horizontal="right"/>
      <protection locked="0"/>
    </xf>
    <xf numFmtId="37" fontId="11" fillId="0" borderId="1" xfId="10" applyNumberFormat="1" applyFont="1" applyFill="1" applyBorder="1" applyAlignment="1" applyProtection="1">
      <alignment horizontal="right"/>
    </xf>
    <xf numFmtId="37" fontId="35" fillId="4" borderId="23" xfId="11" applyNumberFormat="1" applyFont="1" applyAlignment="1" applyProtection="1">
      <alignment horizontal="right"/>
    </xf>
    <xf numFmtId="37" fontId="11" fillId="0" borderId="1" xfId="10" applyNumberFormat="1" applyFont="1" applyFill="1" applyBorder="1" applyAlignment="1" applyProtection="1">
      <alignment horizontal="right"/>
      <protection locked="0"/>
    </xf>
    <xf numFmtId="37" fontId="16" fillId="0" borderId="0" xfId="3" applyNumberFormat="1" applyFont="1" applyFill="1" applyAlignment="1">
      <alignment horizontal="right"/>
    </xf>
    <xf numFmtId="37" fontId="11" fillId="0" borderId="2" xfId="10" applyNumberFormat="1" applyFont="1" applyFill="1" applyBorder="1" applyAlignment="1" applyProtection="1">
      <alignment horizontal="right"/>
    </xf>
    <xf numFmtId="169" fontId="11" fillId="0" borderId="2" xfId="10" applyNumberFormat="1" applyFont="1" applyFill="1" applyBorder="1" applyAlignment="1" applyProtection="1">
      <alignment horizontal="right"/>
      <protection locked="0"/>
    </xf>
    <xf numFmtId="49" fontId="11" fillId="0" borderId="5" xfId="3" applyNumberFormat="1" applyFont="1" applyFill="1" applyBorder="1"/>
    <xf numFmtId="0" fontId="11" fillId="0" borderId="5" xfId="3" applyFont="1" applyFill="1" applyBorder="1" applyAlignment="1" applyProtection="1">
      <alignment horizontal="left"/>
    </xf>
    <xf numFmtId="0" fontId="36" fillId="0" borderId="0" xfId="10" applyFont="1" applyFill="1"/>
    <xf numFmtId="170" fontId="11" fillId="0" borderId="0" xfId="10" applyNumberFormat="1" applyFont="1" applyFill="1" applyAlignment="1" applyProtection="1">
      <alignment horizontal="right"/>
      <protection locked="0"/>
    </xf>
    <xf numFmtId="170" fontId="11" fillId="0" borderId="0" xfId="10" applyNumberFormat="1" applyFont="1" applyFill="1" applyAlignment="1" applyProtection="1">
      <alignment horizontal="right"/>
    </xf>
    <xf numFmtId="170" fontId="11" fillId="0" borderId="1" xfId="1" applyNumberFormat="1" applyFont="1" applyFill="1" applyBorder="1" applyAlignment="1" applyProtection="1">
      <alignment horizontal="right"/>
    </xf>
    <xf numFmtId="170" fontId="11" fillId="0" borderId="2" xfId="10" applyNumberFormat="1" applyFont="1" applyFill="1" applyBorder="1" applyAlignment="1" applyProtection="1">
      <alignment horizontal="right"/>
    </xf>
    <xf numFmtId="169" fontId="37" fillId="0" borderId="0" xfId="1" applyNumberFormat="1" applyFont="1" applyFill="1" applyAlignment="1" applyProtection="1">
      <alignment horizontal="right"/>
    </xf>
    <xf numFmtId="0" fontId="37" fillId="0" borderId="0" xfId="3" applyFont="1" applyFill="1"/>
    <xf numFmtId="0" fontId="16" fillId="0" borderId="1" xfId="3" applyFont="1" applyFill="1" applyBorder="1" applyAlignment="1" applyProtection="1"/>
    <xf numFmtId="169" fontId="37" fillId="0" borderId="1" xfId="1" applyNumberFormat="1" applyFont="1" applyFill="1" applyBorder="1" applyProtection="1"/>
    <xf numFmtId="10" fontId="11" fillId="0" borderId="3" xfId="10" applyNumberFormat="1" applyFont="1" applyFill="1" applyBorder="1" applyAlignment="1" applyProtection="1">
      <alignment horizontal="right"/>
    </xf>
    <xf numFmtId="10" fontId="11" fillId="0" borderId="3" xfId="10" applyNumberFormat="1" applyFont="1" applyFill="1" applyBorder="1" applyAlignment="1">
      <alignment horizontal="right"/>
    </xf>
    <xf numFmtId="169" fontId="11" fillId="0" borderId="0" xfId="10" applyNumberFormat="1" applyFont="1" applyFill="1" applyAlignment="1" applyProtection="1">
      <alignment horizontal="right"/>
    </xf>
    <xf numFmtId="169" fontId="11" fillId="0" borderId="1" xfId="10" applyNumberFormat="1" applyFont="1" applyFill="1" applyBorder="1" applyAlignment="1" applyProtection="1">
      <alignment horizontal="right"/>
    </xf>
    <xf numFmtId="37" fontId="11" fillId="0" borderId="0" xfId="10" applyNumberFormat="1" applyFont="1" applyFill="1" applyBorder="1" applyAlignment="1" applyProtection="1">
      <alignment horizontal="right"/>
    </xf>
    <xf numFmtId="169" fontId="11" fillId="0" borderId="0" xfId="10" applyNumberFormat="1" applyFont="1" applyFill="1" applyBorder="1" applyAlignment="1" applyProtection="1">
      <alignment horizontal="right"/>
    </xf>
    <xf numFmtId="37" fontId="11" fillId="0" borderId="4" xfId="10" applyNumberFormat="1" applyFont="1" applyFill="1" applyBorder="1" applyAlignment="1" applyProtection="1">
      <alignment horizontal="right"/>
    </xf>
    <xf numFmtId="169" fontId="11" fillId="0" borderId="4" xfId="10" applyNumberFormat="1" applyFont="1" applyFill="1" applyBorder="1" applyAlignment="1" applyProtection="1">
      <alignment horizontal="right"/>
      <protection locked="0"/>
    </xf>
    <xf numFmtId="169" fontId="11" fillId="0" borderId="4" xfId="10" applyNumberFormat="1" applyFont="1" applyFill="1" applyBorder="1" applyAlignment="1" applyProtection="1">
      <alignment horizontal="right"/>
    </xf>
    <xf numFmtId="37" fontId="11" fillId="0" borderId="3" xfId="10" applyNumberFormat="1" applyFont="1" applyFill="1" applyBorder="1" applyAlignment="1" applyProtection="1">
      <alignment horizontal="right"/>
    </xf>
    <xf numFmtId="169" fontId="11" fillId="0" borderId="3" xfId="10" applyNumberFormat="1" applyFont="1" applyFill="1" applyBorder="1" applyAlignment="1" applyProtection="1">
      <alignment horizontal="right"/>
    </xf>
    <xf numFmtId="10" fontId="11" fillId="0" borderId="2" xfId="10" applyNumberFormat="1" applyFont="1" applyFill="1" applyBorder="1" applyAlignment="1" applyProtection="1">
      <alignment horizontal="right"/>
    </xf>
    <xf numFmtId="10" fontId="11" fillId="0" borderId="2" xfId="10" applyNumberFormat="1" applyFont="1" applyFill="1" applyBorder="1" applyAlignment="1">
      <alignment horizontal="right"/>
    </xf>
    <xf numFmtId="10" fontId="11" fillId="0" borderId="5" xfId="10" applyNumberFormat="1" applyFont="1" applyFill="1" applyBorder="1" applyAlignment="1">
      <alignment horizontal="right"/>
    </xf>
    <xf numFmtId="0" fontId="11" fillId="0" borderId="1" xfId="3" applyFont="1" applyFill="1" applyBorder="1"/>
    <xf numFmtId="43" fontId="11" fillId="0" borderId="0" xfId="1" applyFont="1" applyFill="1"/>
    <xf numFmtId="169" fontId="11" fillId="0" borderId="0" xfId="1" applyNumberFormat="1" applyFont="1" applyFill="1" applyBorder="1" applyAlignment="1" applyProtection="1">
      <alignment horizontal="right"/>
      <protection locked="0"/>
    </xf>
    <xf numFmtId="169" fontId="35" fillId="4" borderId="23" xfId="11" applyNumberFormat="1" applyFont="1" applyAlignment="1" applyProtection="1">
      <alignment horizontal="right"/>
      <protection locked="0"/>
    </xf>
    <xf numFmtId="37" fontId="11" fillId="0" borderId="1" xfId="1" applyNumberFormat="1" applyFont="1" applyFill="1" applyBorder="1" applyAlignment="1">
      <alignment horizontal="right"/>
    </xf>
    <xf numFmtId="37" fontId="35" fillId="4" borderId="23" xfId="11" applyNumberFormat="1" applyFont="1" applyAlignment="1">
      <alignment horizontal="right"/>
    </xf>
    <xf numFmtId="37" fontId="11" fillId="0" borderId="0" xfId="1" applyNumberFormat="1" applyFont="1" applyFill="1" applyBorder="1" applyAlignment="1" applyProtection="1">
      <alignment horizontal="right"/>
      <protection locked="0"/>
    </xf>
    <xf numFmtId="169" fontId="11" fillId="0" borderId="1" xfId="1" applyNumberFormat="1" applyFont="1" applyFill="1" applyBorder="1" applyAlignment="1">
      <alignment horizontal="right"/>
    </xf>
    <xf numFmtId="174" fontId="11" fillId="0" borderId="0" xfId="1" applyNumberFormat="1" applyFont="1" applyFill="1" applyBorder="1" applyAlignment="1">
      <alignment horizontal="right"/>
    </xf>
    <xf numFmtId="43" fontId="11" fillId="0" borderId="0" xfId="1" applyNumberFormat="1" applyFont="1" applyFill="1" applyBorder="1" applyAlignment="1">
      <alignment horizontal="right"/>
    </xf>
    <xf numFmtId="169" fontId="11" fillId="0" borderId="6" xfId="1" applyNumberFormat="1" applyFont="1" applyFill="1" applyBorder="1" applyAlignment="1" applyProtection="1">
      <alignment horizontal="fill"/>
    </xf>
    <xf numFmtId="169" fontId="11" fillId="0" borderId="6" xfId="1" applyNumberFormat="1" applyFont="1" applyFill="1" applyBorder="1" applyAlignment="1" applyProtection="1">
      <alignment horizontal="right"/>
    </xf>
    <xf numFmtId="43" fontId="11" fillId="0" borderId="0" xfId="1" applyNumberFormat="1" applyFont="1" applyFill="1" applyAlignment="1" applyProtection="1">
      <alignment horizontal="right"/>
    </xf>
    <xf numFmtId="37" fontId="11" fillId="0" borderId="0" xfId="3" applyNumberFormat="1" applyFont="1" applyFill="1"/>
    <xf numFmtId="37" fontId="35" fillId="4" borderId="28" xfId="11" applyNumberFormat="1" applyFont="1" applyBorder="1" applyAlignment="1" applyProtection="1">
      <alignment horizontal="right"/>
      <protection locked="0"/>
    </xf>
    <xf numFmtId="37" fontId="35" fillId="4" borderId="25" xfId="11" applyNumberFormat="1" applyFont="1" applyBorder="1" applyAlignment="1" applyProtection="1">
      <alignment horizontal="right"/>
    </xf>
    <xf numFmtId="37" fontId="35" fillId="4" borderId="27" xfId="11" applyNumberFormat="1" applyFont="1" applyBorder="1" applyAlignment="1" applyProtection="1">
      <alignment horizontal="right"/>
    </xf>
    <xf numFmtId="169" fontId="35" fillId="4" borderId="30" xfId="11" applyNumberFormat="1" applyFont="1" applyBorder="1" applyAlignment="1" applyProtection="1">
      <alignment horizontal="right"/>
    </xf>
    <xf numFmtId="37" fontId="11" fillId="0" borderId="5" xfId="1" applyNumberFormat="1" applyFont="1" applyFill="1" applyBorder="1" applyAlignment="1" applyProtection="1">
      <alignment horizontal="right"/>
    </xf>
    <xf numFmtId="170" fontId="35" fillId="4" borderId="25" xfId="11" applyNumberFormat="1" applyFont="1" applyBorder="1" applyAlignment="1" applyProtection="1">
      <alignment horizontal="right"/>
      <protection locked="0"/>
    </xf>
    <xf numFmtId="37" fontId="35" fillId="4" borderId="25" xfId="11" applyNumberFormat="1" applyFont="1" applyBorder="1" applyAlignment="1" applyProtection="1">
      <protection locked="0"/>
    </xf>
    <xf numFmtId="37" fontId="35" fillId="4" borderId="27" xfId="11" applyNumberFormat="1" applyFont="1" applyBorder="1" applyAlignment="1">
      <alignment horizontal="right"/>
    </xf>
    <xf numFmtId="169" fontId="35" fillId="4" borderId="26" xfId="11" applyNumberFormat="1" applyFont="1" applyBorder="1" applyAlignment="1" applyProtection="1">
      <alignment horizontal="right"/>
    </xf>
    <xf numFmtId="0" fontId="11" fillId="0" borderId="31" xfId="3" applyFont="1" applyFill="1" applyBorder="1"/>
    <xf numFmtId="164" fontId="8" fillId="0" borderId="0" xfId="0" applyFont="1" applyFill="1"/>
    <xf numFmtId="164" fontId="1" fillId="0" borderId="9" xfId="0" applyFont="1" applyFill="1" applyBorder="1" applyAlignment="1" applyProtection="1">
      <alignment horizontal="fill"/>
    </xf>
    <xf numFmtId="164" fontId="1" fillId="0" borderId="1" xfId="0" applyFont="1" applyFill="1" applyBorder="1" applyAlignment="1" applyProtection="1">
      <alignment horizontal="left"/>
    </xf>
    <xf numFmtId="7" fontId="1" fillId="0" borderId="1" xfId="10" applyNumberFormat="1" applyFont="1" applyFill="1" applyBorder="1" applyProtection="1"/>
    <xf numFmtId="164" fontId="1" fillId="0" borderId="0" xfId="0" applyFont="1" applyFill="1" applyAlignment="1" applyProtection="1">
      <alignment horizontal="left"/>
    </xf>
    <xf numFmtId="7" fontId="1" fillId="0" borderId="0" xfId="10" applyNumberFormat="1" applyFont="1" applyFill="1" applyProtection="1">
      <protection locked="0"/>
    </xf>
    <xf numFmtId="7" fontId="1" fillId="0" borderId="0" xfId="10" applyNumberFormat="1" applyFont="1" applyFill="1" applyProtection="1"/>
    <xf numFmtId="7" fontId="1" fillId="0" borderId="1" xfId="10" applyNumberFormat="1" applyFont="1" applyFill="1" applyBorder="1" applyProtection="1">
      <protection locked="0"/>
    </xf>
    <xf numFmtId="164" fontId="1" fillId="0" borderId="2" xfId="0" applyFont="1" applyFill="1" applyBorder="1" applyAlignment="1" applyProtection="1">
      <alignment horizontal="left"/>
    </xf>
    <xf numFmtId="7" fontId="1" fillId="0" borderId="2" xfId="10" applyNumberFormat="1" applyFont="1" applyFill="1" applyBorder="1" applyProtection="1">
      <protection locked="0"/>
    </xf>
    <xf numFmtId="7" fontId="1" fillId="0" borderId="2" xfId="10" applyNumberFormat="1" applyFont="1" applyFill="1" applyBorder="1" applyProtection="1"/>
    <xf numFmtId="7" fontId="1" fillId="0" borderId="0" xfId="0" applyNumberFormat="1" applyFont="1" applyFill="1" applyProtection="1">
      <protection locked="0"/>
    </xf>
    <xf numFmtId="7" fontId="1" fillId="0" borderId="0" xfId="0" applyNumberFormat="1" applyFont="1" applyFill="1" applyProtection="1"/>
    <xf numFmtId="2" fontId="1" fillId="0" borderId="0" xfId="10" applyNumberFormat="1" applyFont="1" applyFill="1" applyProtection="1">
      <protection locked="0"/>
    </xf>
    <xf numFmtId="2" fontId="1" fillId="0" borderId="0" xfId="10" applyNumberFormat="1" applyFont="1" applyFill="1" applyProtection="1"/>
    <xf numFmtId="2" fontId="1" fillId="0" borderId="1" xfId="10" applyNumberFormat="1" applyFont="1" applyFill="1" applyBorder="1" applyProtection="1">
      <protection locked="0"/>
    </xf>
    <xf numFmtId="2" fontId="1" fillId="0" borderId="1" xfId="10" applyNumberFormat="1" applyFont="1" applyFill="1" applyBorder="1" applyProtection="1"/>
    <xf numFmtId="164" fontId="1" fillId="0" borderId="0" xfId="0" applyFont="1" applyFill="1" applyBorder="1" applyAlignment="1" applyProtection="1">
      <alignment horizontal="left"/>
    </xf>
    <xf numFmtId="2" fontId="1" fillId="0" borderId="0" xfId="10" applyNumberFormat="1" applyFont="1" applyFill="1" applyBorder="1" applyProtection="1">
      <protection locked="0"/>
    </xf>
    <xf numFmtId="2" fontId="1" fillId="0" borderId="0" xfId="10" applyNumberFormat="1" applyFont="1" applyFill="1" applyBorder="1" applyProtection="1"/>
    <xf numFmtId="2" fontId="1" fillId="0" borderId="2" xfId="10" applyNumberFormat="1" applyFont="1" applyFill="1" applyBorder="1" applyProtection="1">
      <protection locked="0"/>
    </xf>
    <xf numFmtId="2" fontId="1" fillId="0" borderId="2" xfId="10" applyNumberFormat="1" applyFont="1" applyFill="1" applyBorder="1" applyProtection="1"/>
    <xf numFmtId="2" fontId="8" fillId="0" borderId="0" xfId="0" applyNumberFormat="1" applyFont="1" applyFill="1" applyProtection="1">
      <protection locked="0"/>
    </xf>
    <xf numFmtId="2" fontId="8" fillId="0" borderId="0" xfId="0" applyNumberFormat="1" applyFont="1" applyFill="1"/>
    <xf numFmtId="10" fontId="1" fillId="0" borderId="2" xfId="10" applyNumberFormat="1" applyFont="1" applyFill="1" applyBorder="1" applyProtection="1">
      <protection locked="0"/>
    </xf>
    <xf numFmtId="10" fontId="1" fillId="0" borderId="2" xfId="10" applyNumberFormat="1" applyFont="1" applyFill="1" applyBorder="1" applyProtection="1"/>
    <xf numFmtId="10" fontId="1" fillId="0" borderId="0" xfId="0" applyNumberFormat="1" applyFont="1" applyFill="1" applyProtection="1">
      <protection locked="0"/>
    </xf>
    <xf numFmtId="10" fontId="1" fillId="0" borderId="0" xfId="0" applyNumberFormat="1" applyFont="1" applyFill="1" applyProtection="1"/>
    <xf numFmtId="7" fontId="33" fillId="4" borderId="25" xfId="11" applyNumberFormat="1" applyBorder="1" applyProtection="1">
      <protection locked="0"/>
    </xf>
    <xf numFmtId="10" fontId="33" fillId="4" borderId="23" xfId="11" applyNumberFormat="1" applyProtection="1">
      <protection locked="0"/>
    </xf>
    <xf numFmtId="3" fontId="33" fillId="4" borderId="23" xfId="11" applyNumberFormat="1" applyProtection="1">
      <protection locked="0"/>
    </xf>
    <xf numFmtId="176" fontId="33" fillId="4" borderId="23" xfId="11" applyNumberFormat="1" applyProtection="1">
      <protection locked="0"/>
    </xf>
    <xf numFmtId="43" fontId="9" fillId="0" borderId="0" xfId="9" applyFont="1" applyFill="1" applyProtection="1">
      <protection locked="0"/>
    </xf>
    <xf numFmtId="43" fontId="9" fillId="0" borderId="2" xfId="9" applyFont="1" applyFill="1" applyBorder="1" applyProtection="1">
      <protection locked="0"/>
    </xf>
    <xf numFmtId="164" fontId="1" fillId="0" borderId="1" xfId="0" applyFont="1" applyFill="1" applyBorder="1"/>
    <xf numFmtId="169" fontId="1" fillId="0" borderId="0" xfId="8" applyNumberFormat="1" applyFont="1" applyFill="1" applyProtection="1"/>
    <xf numFmtId="9" fontId="1" fillId="0" borderId="0" xfId="4" applyFont="1" applyFill="1"/>
    <xf numFmtId="169" fontId="1" fillId="0" borderId="9" xfId="8" applyNumberFormat="1" applyFont="1" applyFill="1" applyBorder="1" applyAlignment="1" applyProtection="1">
      <alignment horizontal="fill"/>
    </xf>
    <xf numFmtId="169" fontId="1" fillId="0" borderId="1" xfId="8" applyNumberFormat="1" applyFont="1" applyFill="1" applyBorder="1" applyProtection="1"/>
    <xf numFmtId="164" fontId="1" fillId="0" borderId="9" xfId="0" applyFont="1" applyFill="1" applyBorder="1"/>
    <xf numFmtId="164" fontId="1" fillId="0" borderId="9" xfId="0" applyFont="1" applyFill="1" applyBorder="1" applyAlignment="1" applyProtection="1">
      <alignment horizontal="left"/>
    </xf>
    <xf numFmtId="169" fontId="1" fillId="0" borderId="9" xfId="8" applyNumberFormat="1" applyFont="1" applyFill="1" applyBorder="1" applyProtection="1"/>
    <xf numFmtId="169" fontId="1" fillId="0" borderId="1" xfId="8" applyNumberFormat="1" applyFont="1" applyFill="1" applyBorder="1"/>
    <xf numFmtId="164" fontId="1" fillId="0" borderId="0" xfId="0" applyFont="1" applyFill="1" applyBorder="1"/>
    <xf numFmtId="169" fontId="1" fillId="0" borderId="0" xfId="8" applyNumberFormat="1" applyFont="1" applyFill="1"/>
    <xf numFmtId="164" fontId="1" fillId="0" borderId="2" xfId="0" applyFont="1" applyFill="1" applyBorder="1"/>
    <xf numFmtId="169" fontId="33" fillId="4" borderId="23" xfId="11" applyNumberFormat="1"/>
    <xf numFmtId="169" fontId="33" fillId="4" borderId="23" xfId="11" applyNumberFormat="1" applyProtection="1">
      <protection locked="0"/>
    </xf>
    <xf numFmtId="169" fontId="33" fillId="4" borderId="25" xfId="11" applyNumberFormat="1" applyBorder="1" applyProtection="1">
      <protection locked="0"/>
    </xf>
    <xf numFmtId="7" fontId="33" fillId="4" borderId="0" xfId="11" applyNumberFormat="1" applyFont="1" applyBorder="1" applyProtection="1">
      <protection locked="0"/>
    </xf>
    <xf numFmtId="37" fontId="33" fillId="4" borderId="0" xfId="11" applyNumberFormat="1" applyFont="1" applyBorder="1" applyProtection="1">
      <protection locked="0"/>
    </xf>
    <xf numFmtId="37" fontId="33" fillId="4" borderId="0" xfId="11" applyNumberFormat="1" applyBorder="1"/>
    <xf numFmtId="37" fontId="33" fillId="4" borderId="0" xfId="11" applyNumberFormat="1" applyBorder="1" applyProtection="1">
      <protection locked="0"/>
    </xf>
    <xf numFmtId="37" fontId="33" fillId="4" borderId="1" xfId="11" applyNumberFormat="1" applyBorder="1" applyProtection="1">
      <protection locked="0"/>
    </xf>
    <xf numFmtId="37" fontId="1" fillId="0" borderId="0" xfId="8" applyNumberFormat="1" applyFont="1" applyFill="1" applyProtection="1"/>
    <xf numFmtId="166" fontId="33" fillId="4" borderId="23" xfId="11" applyNumberFormat="1"/>
    <xf numFmtId="9" fontId="33" fillId="4" borderId="23" xfId="11" applyNumberFormat="1" applyProtection="1"/>
    <xf numFmtId="9" fontId="33" fillId="4" borderId="25" xfId="11" applyNumberFormat="1" applyBorder="1" applyProtection="1"/>
    <xf numFmtId="49" fontId="33" fillId="4" borderId="23" xfId="11" applyNumberFormat="1" applyAlignment="1" applyProtection="1">
      <alignment horizontal="right"/>
      <protection locked="0"/>
    </xf>
    <xf numFmtId="164" fontId="33" fillId="4" borderId="23" xfId="11" applyNumberFormat="1"/>
    <xf numFmtId="49" fontId="33" fillId="4" borderId="23" xfId="11" quotePrefix="1" applyNumberFormat="1" applyAlignment="1" applyProtection="1">
      <alignment horizontal="right"/>
      <protection locked="0"/>
    </xf>
    <xf numFmtId="169" fontId="33" fillId="4" borderId="23" xfId="11" applyNumberFormat="1" applyProtection="1"/>
    <xf numFmtId="166" fontId="33" fillId="4" borderId="23" xfId="11" applyNumberFormat="1" applyProtection="1"/>
    <xf numFmtId="164" fontId="33" fillId="4" borderId="23" xfId="11" applyNumberFormat="1" applyAlignment="1" applyProtection="1">
      <alignment horizontal="left"/>
      <protection locked="0"/>
    </xf>
    <xf numFmtId="166" fontId="33" fillId="4" borderId="23" xfId="11" applyNumberFormat="1" applyProtection="1">
      <protection locked="0"/>
    </xf>
    <xf numFmtId="164" fontId="33" fillId="4" borderId="23" xfId="11" applyNumberFormat="1" applyProtection="1">
      <protection locked="0"/>
    </xf>
    <xf numFmtId="37" fontId="35" fillId="4" borderId="23" xfId="11" applyNumberFormat="1" applyFont="1"/>
    <xf numFmtId="39" fontId="35" fillId="4" borderId="23" xfId="11" applyNumberFormat="1" applyFont="1" applyAlignment="1" applyProtection="1">
      <alignment horizontal="right"/>
    </xf>
    <xf numFmtId="0" fontId="35" fillId="4" borderId="23" xfId="11" applyNumberFormat="1" applyFont="1" applyAlignment="1" applyProtection="1">
      <alignment horizontal="right"/>
      <protection locked="0"/>
    </xf>
    <xf numFmtId="49" fontId="35" fillId="4" borderId="23" xfId="11" applyNumberFormat="1" applyFont="1" applyAlignment="1" applyProtection="1">
      <alignment horizontal="left"/>
      <protection locked="0"/>
    </xf>
    <xf numFmtId="37" fontId="35" fillId="4" borderId="23" xfId="11" applyNumberFormat="1" applyFont="1" applyAlignment="1" applyProtection="1">
      <alignment horizontal="left"/>
      <protection locked="0"/>
    </xf>
    <xf numFmtId="39" fontId="35" fillId="4" borderId="23" xfId="11" applyNumberFormat="1" applyFont="1" applyAlignment="1">
      <alignment horizontal="right"/>
    </xf>
    <xf numFmtId="49" fontId="35" fillId="4" borderId="23" xfId="11" quotePrefix="1" applyNumberFormat="1" applyFont="1" applyAlignment="1" applyProtection="1">
      <alignment horizontal="left"/>
      <protection locked="0"/>
    </xf>
    <xf numFmtId="39" fontId="35" fillId="4" borderId="25" xfId="11" applyNumberFormat="1" applyFont="1" applyBorder="1" applyAlignment="1">
      <alignment horizontal="right"/>
    </xf>
    <xf numFmtId="39" fontId="35" fillId="4" borderId="23" xfId="11" applyNumberFormat="1" applyFont="1" applyAlignment="1" applyProtection="1">
      <alignment horizontal="right"/>
      <protection locked="0"/>
    </xf>
    <xf numFmtId="37" fontId="35" fillId="4" borderId="25" xfId="11" applyNumberFormat="1" applyFont="1" applyBorder="1" applyAlignment="1">
      <alignment horizontal="right"/>
    </xf>
    <xf numFmtId="37" fontId="35" fillId="0" borderId="23" xfId="11" applyNumberFormat="1" applyFont="1" applyFill="1"/>
    <xf numFmtId="39" fontId="35" fillId="4" borderId="23" xfId="11" applyNumberFormat="1" applyFont="1"/>
    <xf numFmtId="39" fontId="38" fillId="0" borderId="24" xfId="12" applyNumberFormat="1" applyFont="1" applyFill="1"/>
    <xf numFmtId="37" fontId="38" fillId="0" borderId="24" xfId="12" applyNumberFormat="1" applyFont="1" applyFill="1" applyAlignment="1" applyProtection="1">
      <alignment horizontal="right"/>
    </xf>
    <xf numFmtId="37" fontId="35" fillId="0" borderId="0" xfId="11" applyNumberFormat="1" applyFont="1" applyFill="1" applyBorder="1"/>
    <xf numFmtId="164" fontId="33" fillId="4" borderId="23" xfId="11" applyNumberFormat="1" applyAlignment="1">
      <alignment horizontal="right"/>
    </xf>
    <xf numFmtId="14" fontId="33" fillId="4" borderId="23" xfId="11" applyNumberFormat="1" applyAlignment="1" applyProtection="1">
      <alignment horizontal="centerContinuous"/>
      <protection locked="0"/>
    </xf>
    <xf numFmtId="164" fontId="33" fillId="4" borderId="25" xfId="11" applyNumberFormat="1" applyBorder="1" applyProtection="1">
      <protection locked="0"/>
    </xf>
    <xf numFmtId="43" fontId="33" fillId="4" borderId="23" xfId="11" applyNumberFormat="1"/>
    <xf numFmtId="43" fontId="33" fillId="4" borderId="25" xfId="11" applyNumberFormat="1" applyBorder="1"/>
    <xf numFmtId="169" fontId="34" fillId="4" borderId="24" xfId="12" applyNumberFormat="1" applyFill="1"/>
    <xf numFmtId="169" fontId="34" fillId="0" borderId="24" xfId="12" applyNumberFormat="1" applyFill="1"/>
    <xf numFmtId="39" fontId="33" fillId="4" borderId="23" xfId="11" applyNumberFormat="1" applyProtection="1">
      <protection locked="0"/>
    </xf>
    <xf numFmtId="14" fontId="35" fillId="4" borderId="23" xfId="11" applyNumberFormat="1" applyFont="1" applyAlignment="1">
      <alignment horizontal="left"/>
    </xf>
    <xf numFmtId="164" fontId="35" fillId="4" borderId="23" xfId="11" applyNumberFormat="1" applyFont="1" applyAlignment="1">
      <alignment horizontal="right"/>
    </xf>
    <xf numFmtId="49" fontId="35" fillId="4" borderId="23" xfId="11" applyNumberFormat="1" applyFont="1"/>
    <xf numFmtId="49" fontId="35" fillId="4" borderId="23" xfId="11" applyNumberFormat="1" applyFont="1" applyAlignment="1" applyProtection="1">
      <alignment horizontal="left"/>
    </xf>
    <xf numFmtId="37" fontId="35" fillId="4" borderId="23" xfId="11" applyNumberFormat="1" applyFont="1" applyAlignment="1" applyProtection="1">
      <alignment horizontal="left"/>
    </xf>
    <xf numFmtId="49" fontId="35" fillId="4" borderId="25" xfId="11" applyNumberFormat="1" applyFont="1" applyBorder="1" applyAlignment="1" applyProtection="1">
      <alignment horizontal="left"/>
    </xf>
    <xf numFmtId="37" fontId="35" fillId="4" borderId="25" xfId="11" applyNumberFormat="1" applyFont="1" applyBorder="1" applyAlignment="1" applyProtection="1">
      <alignment horizontal="left"/>
    </xf>
    <xf numFmtId="49" fontId="35" fillId="0" borderId="29" xfId="11" applyNumberFormat="1" applyFont="1" applyFill="1" applyBorder="1" applyAlignment="1" applyProtection="1">
      <alignment horizontal="fill"/>
    </xf>
    <xf numFmtId="37" fontId="35" fillId="0" borderId="29" xfId="11" applyNumberFormat="1" applyFont="1" applyFill="1" applyBorder="1" applyAlignment="1" applyProtection="1">
      <alignment horizontal="fill"/>
    </xf>
    <xf numFmtId="49" fontId="35" fillId="4" borderId="23" xfId="11" applyNumberFormat="1" applyFont="1" applyProtection="1">
      <protection locked="0"/>
    </xf>
    <xf numFmtId="169" fontId="35" fillId="4" borderId="23" xfId="11" applyNumberFormat="1" applyFont="1" applyAlignment="1">
      <alignment horizontal="right"/>
    </xf>
    <xf numFmtId="164" fontId="35" fillId="4" borderId="23" xfId="11" applyNumberFormat="1" applyFont="1"/>
    <xf numFmtId="169" fontId="35" fillId="4" borderId="25" xfId="11" applyNumberFormat="1" applyFont="1" applyBorder="1" applyAlignment="1">
      <alignment horizontal="right"/>
    </xf>
    <xf numFmtId="169" fontId="35" fillId="4" borderId="26" xfId="11" applyNumberFormat="1" applyFont="1" applyBorder="1" applyAlignment="1">
      <alignment horizontal="right"/>
    </xf>
    <xf numFmtId="168" fontId="35" fillId="4" borderId="23" xfId="11" applyNumberFormat="1" applyFont="1" applyAlignment="1">
      <alignment horizontal="right"/>
    </xf>
    <xf numFmtId="168" fontId="35" fillId="0" borderId="23" xfId="11" applyNumberFormat="1" applyFont="1" applyFill="1" applyAlignment="1">
      <alignment horizontal="right"/>
    </xf>
    <xf numFmtId="168" fontId="35" fillId="4" borderId="25" xfId="11" applyNumberFormat="1" applyFont="1" applyBorder="1" applyAlignment="1">
      <alignment horizontal="right"/>
    </xf>
    <xf numFmtId="168" fontId="35" fillId="0" borderId="25" xfId="11" applyNumberFormat="1" applyFont="1" applyFill="1" applyBorder="1" applyAlignment="1">
      <alignment horizontal="right"/>
    </xf>
    <xf numFmtId="164" fontId="24" fillId="0" borderId="0" xfId="0" applyFont="1" applyBorder="1" applyAlignment="1">
      <alignment horizontal="left"/>
    </xf>
    <xf numFmtId="49" fontId="39" fillId="0" borderId="0" xfId="3" applyNumberFormat="1" applyFont="1" applyFill="1" applyAlignment="1">
      <alignment horizontal="right"/>
    </xf>
    <xf numFmtId="169" fontId="39" fillId="0" borderId="0" xfId="1" applyNumberFormat="1" applyFont="1" applyFill="1"/>
    <xf numFmtId="0" fontId="39" fillId="0" borderId="0" xfId="3" applyFont="1" applyFill="1"/>
    <xf numFmtId="0" fontId="39" fillId="0" borderId="0" xfId="3" applyFont="1" applyFill="1" applyBorder="1" applyAlignment="1">
      <alignment horizontal="left"/>
    </xf>
    <xf numFmtId="0" fontId="39" fillId="0" borderId="0" xfId="3" applyFont="1"/>
    <xf numFmtId="49" fontId="39" fillId="0" borderId="0" xfId="3" applyNumberFormat="1" applyFont="1" applyFill="1" applyBorder="1" applyAlignment="1">
      <alignment horizontal="left"/>
    </xf>
    <xf numFmtId="172" fontId="39" fillId="0" borderId="0" xfId="3" applyNumberFormat="1" applyFont="1" applyFill="1" applyAlignment="1">
      <alignment horizontal="right"/>
    </xf>
    <xf numFmtId="169" fontId="39" fillId="0" borderId="0" xfId="1" applyNumberFormat="1" applyFont="1" applyFill="1" applyBorder="1" applyAlignment="1">
      <alignment horizontal="right"/>
    </xf>
    <xf numFmtId="3" fontId="39" fillId="0" borderId="0" xfId="3" applyNumberFormat="1" applyFont="1" applyFill="1" applyBorder="1" applyAlignment="1">
      <alignment horizontal="right"/>
    </xf>
    <xf numFmtId="0" fontId="39" fillId="0" borderId="0" xfId="3" applyFont="1" applyFill="1" applyBorder="1" applyAlignment="1">
      <alignment horizontal="right"/>
    </xf>
    <xf numFmtId="49" fontId="39" fillId="0" borderId="0" xfId="3" applyNumberFormat="1" applyFont="1" applyFill="1" applyBorder="1" applyProtection="1">
      <protection hidden="1"/>
    </xf>
    <xf numFmtId="3" fontId="39" fillId="0" borderId="0" xfId="3" applyNumberFormat="1" applyFont="1" applyFill="1" applyBorder="1" applyAlignment="1" applyProtection="1">
      <alignment horizontal="right"/>
    </xf>
    <xf numFmtId="164" fontId="39" fillId="0" borderId="0" xfId="3" applyNumberFormat="1" applyFont="1" applyFill="1" applyBorder="1" applyAlignment="1" applyProtection="1">
      <alignment horizontal="right"/>
    </xf>
    <xf numFmtId="0" fontId="39" fillId="0" borderId="0" xfId="3" applyFont="1" applyFill="1" applyBorder="1" applyProtection="1">
      <protection hidden="1"/>
    </xf>
    <xf numFmtId="49" fontId="40" fillId="0" borderId="0" xfId="3" applyNumberFormat="1" applyFont="1" applyFill="1" applyBorder="1"/>
    <xf numFmtId="0" fontId="40" fillId="0" borderId="0" xfId="3" applyFont="1" applyFill="1" applyBorder="1" applyAlignment="1">
      <alignment horizontal="left"/>
    </xf>
    <xf numFmtId="169" fontId="39" fillId="0" borderId="7" xfId="1" applyNumberFormat="1" applyFont="1" applyFill="1" applyBorder="1" applyAlignment="1">
      <alignment horizontal="right"/>
    </xf>
    <xf numFmtId="3" fontId="39" fillId="0" borderId="7" xfId="3" applyNumberFormat="1" applyFont="1" applyFill="1" applyBorder="1" applyAlignment="1" applyProtection="1">
      <alignment horizontal="right"/>
    </xf>
    <xf numFmtId="0" fontId="39" fillId="0" borderId="7" xfId="3" applyFont="1" applyFill="1" applyBorder="1" applyAlignment="1">
      <alignment horizontal="right"/>
    </xf>
    <xf numFmtId="164" fontId="39" fillId="0" borderId="7" xfId="3" applyNumberFormat="1" applyFont="1" applyFill="1" applyBorder="1" applyAlignment="1" applyProtection="1">
      <alignment horizontal="right"/>
    </xf>
    <xf numFmtId="0" fontId="39" fillId="0" borderId="7" xfId="3" applyFont="1" applyFill="1" applyBorder="1" applyAlignment="1">
      <alignment horizontal="left"/>
    </xf>
    <xf numFmtId="0" fontId="39" fillId="0" borderId="0" xfId="3" applyFont="1" applyFill="1" applyBorder="1"/>
    <xf numFmtId="49" fontId="39" fillId="0" borderId="0" xfId="3" applyNumberFormat="1" applyFont="1" applyFill="1"/>
    <xf numFmtId="3" fontId="39" fillId="0" borderId="0" xfId="3" applyNumberFormat="1" applyFont="1" applyFill="1"/>
    <xf numFmtId="49" fontId="39" fillId="0" borderId="1" xfId="3" applyNumberFormat="1" applyFont="1" applyFill="1" applyBorder="1"/>
    <xf numFmtId="0" fontId="40" fillId="0" borderId="1" xfId="3" applyFont="1" applyFill="1" applyBorder="1" applyAlignment="1" applyProtection="1">
      <alignment horizontal="left"/>
    </xf>
    <xf numFmtId="169" fontId="39" fillId="0" borderId="1" xfId="1" applyNumberFormat="1" applyFont="1" applyFill="1" applyBorder="1"/>
    <xf numFmtId="3" fontId="39" fillId="0" borderId="1" xfId="3" applyNumberFormat="1" applyFont="1" applyFill="1" applyBorder="1"/>
    <xf numFmtId="0" fontId="39" fillId="0" borderId="1" xfId="3" applyFont="1" applyFill="1" applyBorder="1"/>
    <xf numFmtId="49" fontId="39" fillId="0" borderId="0" xfId="1" applyNumberFormat="1" applyFont="1" applyFill="1" applyAlignment="1">
      <alignment horizontal="right"/>
    </xf>
    <xf numFmtId="0" fontId="39" fillId="0" borderId="0" xfId="3" applyFont="1" applyFill="1" applyAlignment="1" applyProtection="1">
      <alignment horizontal="left"/>
    </xf>
    <xf numFmtId="37" fontId="39" fillId="0" borderId="0" xfId="3" applyNumberFormat="1" applyFont="1" applyFill="1" applyBorder="1" applyAlignment="1" applyProtection="1">
      <alignment horizontal="right"/>
    </xf>
    <xf numFmtId="37" fontId="39" fillId="0" borderId="0" xfId="3" applyNumberFormat="1" applyFont="1" applyFill="1" applyBorder="1" applyAlignment="1" applyProtection="1">
      <alignment horizontal="left"/>
    </xf>
    <xf numFmtId="49" fontId="39" fillId="0" borderId="1" xfId="1" applyNumberFormat="1" applyFont="1" applyFill="1" applyBorder="1" applyAlignment="1">
      <alignment horizontal="right"/>
    </xf>
    <xf numFmtId="0" fontId="39" fillId="0" borderId="1" xfId="3" applyFont="1" applyFill="1" applyBorder="1" applyAlignment="1" applyProtection="1">
      <alignment horizontal="left"/>
    </xf>
    <xf numFmtId="37" fontId="39" fillId="0" borderId="1" xfId="3" applyNumberFormat="1" applyFont="1" applyFill="1" applyBorder="1" applyAlignment="1" applyProtection="1">
      <alignment horizontal="right"/>
    </xf>
    <xf numFmtId="37" fontId="39" fillId="0" borderId="1" xfId="1" applyNumberFormat="1" applyFont="1" applyFill="1" applyBorder="1" applyAlignment="1" applyProtection="1">
      <alignment horizontal="right"/>
    </xf>
    <xf numFmtId="37" fontId="39" fillId="0" borderId="0" xfId="1" applyNumberFormat="1" applyFont="1" applyFill="1" applyBorder="1" applyAlignment="1" applyProtection="1">
      <alignment horizontal="left"/>
    </xf>
    <xf numFmtId="49" fontId="39" fillId="0" borderId="0" xfId="1" applyNumberFormat="1" applyFont="1" applyFill="1" applyBorder="1" applyAlignment="1">
      <alignment horizontal="right"/>
    </xf>
    <xf numFmtId="0" fontId="39" fillId="0" borderId="0" xfId="3" applyFont="1" applyFill="1" applyBorder="1" applyAlignment="1" applyProtection="1">
      <alignment horizontal="left"/>
    </xf>
    <xf numFmtId="49" fontId="40" fillId="0" borderId="0" xfId="1" applyNumberFormat="1" applyFont="1" applyFill="1" applyBorder="1" applyAlignment="1">
      <alignment horizontal="right"/>
    </xf>
    <xf numFmtId="0" fontId="40" fillId="0" borderId="0" xfId="3" applyFont="1" applyFill="1"/>
    <xf numFmtId="37" fontId="40" fillId="0" borderId="0" xfId="1" applyNumberFormat="1" applyFont="1" applyFill="1" applyBorder="1" applyAlignment="1" applyProtection="1">
      <alignment horizontal="right"/>
    </xf>
    <xf numFmtId="37" fontId="40" fillId="0" borderId="0" xfId="1" applyNumberFormat="1" applyFont="1" applyFill="1" applyBorder="1" applyAlignment="1" applyProtection="1">
      <alignment horizontal="left"/>
    </xf>
    <xf numFmtId="49" fontId="39" fillId="0" borderId="2" xfId="1" applyNumberFormat="1" applyFont="1" applyFill="1" applyBorder="1" applyAlignment="1">
      <alignment horizontal="right"/>
    </xf>
    <xf numFmtId="0" fontId="39" fillId="0" borderId="2" xfId="3" applyFont="1" applyFill="1" applyBorder="1" applyAlignment="1" applyProtection="1">
      <alignment horizontal="left"/>
    </xf>
    <xf numFmtId="37" fontId="39" fillId="0" borderId="2" xfId="1" applyNumberFormat="1" applyFont="1" applyFill="1" applyBorder="1" applyAlignment="1" applyProtection="1">
      <alignment horizontal="right"/>
    </xf>
    <xf numFmtId="49" fontId="39" fillId="0" borderId="0" xfId="1" applyNumberFormat="1" applyFont="1" applyFill="1" applyBorder="1"/>
    <xf numFmtId="49" fontId="39" fillId="0" borderId="2" xfId="1" applyNumberFormat="1" applyFont="1" applyFill="1" applyBorder="1"/>
    <xf numFmtId="0" fontId="40" fillId="0" borderId="2" xfId="3" applyFont="1" applyFill="1" applyBorder="1" applyAlignment="1" applyProtection="1">
      <alignment horizontal="left"/>
    </xf>
    <xf numFmtId="37" fontId="39" fillId="0" borderId="2" xfId="3" applyNumberFormat="1" applyFont="1" applyFill="1" applyBorder="1" applyAlignment="1" applyProtection="1">
      <alignment horizontal="right"/>
    </xf>
    <xf numFmtId="2" fontId="39" fillId="0" borderId="0" xfId="3" applyNumberFormat="1" applyFont="1" applyFill="1" applyBorder="1" applyAlignment="1">
      <alignment horizontal="left"/>
    </xf>
    <xf numFmtId="49" fontId="39" fillId="0" borderId="0" xfId="3" applyNumberFormat="1" applyFont="1" applyFill="1" applyBorder="1"/>
    <xf numFmtId="170" fontId="39" fillId="0" borderId="0" xfId="3" applyNumberFormat="1" applyFont="1" applyFill="1" applyBorder="1" applyAlignment="1" applyProtection="1">
      <alignment horizontal="right"/>
    </xf>
    <xf numFmtId="0" fontId="40" fillId="0" borderId="0" xfId="3" applyFont="1" applyFill="1" applyBorder="1" applyAlignment="1" applyProtection="1">
      <alignment horizontal="left"/>
    </xf>
    <xf numFmtId="3" fontId="39" fillId="0" borderId="0" xfId="3" applyNumberFormat="1" applyFont="1" applyFill="1" applyAlignment="1">
      <alignment horizontal="right"/>
    </xf>
    <xf numFmtId="49" fontId="39" fillId="0" borderId="1" xfId="3" applyNumberFormat="1" applyFont="1" applyFill="1" applyBorder="1" applyAlignment="1" applyProtection="1">
      <alignment horizontal="right"/>
    </xf>
    <xf numFmtId="3" fontId="39" fillId="0" borderId="1" xfId="3" applyNumberFormat="1" applyFont="1" applyFill="1" applyBorder="1" applyAlignment="1" applyProtection="1">
      <alignment horizontal="right"/>
    </xf>
    <xf numFmtId="3" fontId="39" fillId="0" borderId="1" xfId="3" applyNumberFormat="1" applyFont="1" applyFill="1" applyBorder="1" applyAlignment="1">
      <alignment horizontal="right"/>
    </xf>
    <xf numFmtId="170" fontId="39" fillId="0" borderId="1" xfId="3" applyNumberFormat="1" applyFont="1" applyFill="1" applyBorder="1" applyAlignment="1" applyProtection="1">
      <alignment horizontal="right"/>
    </xf>
    <xf numFmtId="49" fontId="39" fillId="0" borderId="0" xfId="3" applyNumberFormat="1" applyFont="1" applyFill="1" applyBorder="1" applyAlignment="1" applyProtection="1">
      <alignment horizontal="right"/>
    </xf>
    <xf numFmtId="165" fontId="39" fillId="0" borderId="0" xfId="3" applyNumberFormat="1" applyFont="1" applyFill="1" applyBorder="1" applyAlignment="1" applyProtection="1">
      <alignment horizontal="left"/>
    </xf>
    <xf numFmtId="170" fontId="39" fillId="0" borderId="0" xfId="1" applyNumberFormat="1" applyFont="1" applyFill="1" applyBorder="1" applyAlignment="1" applyProtection="1">
      <alignment horizontal="right"/>
    </xf>
    <xf numFmtId="165" fontId="39" fillId="0" borderId="1" xfId="3" applyNumberFormat="1" applyFont="1" applyFill="1" applyBorder="1" applyAlignment="1" applyProtection="1">
      <alignment horizontal="left"/>
    </xf>
    <xf numFmtId="170" fontId="39" fillId="0" borderId="1" xfId="1" applyNumberFormat="1" applyFont="1" applyFill="1" applyBorder="1" applyAlignment="1" applyProtection="1">
      <alignment horizontal="right"/>
    </xf>
    <xf numFmtId="49" fontId="39" fillId="0" borderId="2" xfId="3" applyNumberFormat="1" applyFont="1" applyFill="1" applyBorder="1" applyAlignment="1" applyProtection="1">
      <alignment horizontal="right"/>
    </xf>
    <xf numFmtId="165" fontId="39" fillId="0" borderId="2" xfId="3" applyNumberFormat="1" applyFont="1" applyFill="1" applyBorder="1" applyAlignment="1" applyProtection="1">
      <alignment horizontal="left"/>
    </xf>
    <xf numFmtId="170" fontId="39" fillId="0" borderId="2" xfId="1" applyNumberFormat="1" applyFont="1" applyFill="1" applyBorder="1" applyAlignment="1" applyProtection="1">
      <alignment horizontal="right"/>
    </xf>
    <xf numFmtId="49" fontId="39" fillId="0" borderId="0" xfId="3" applyNumberFormat="1" applyFont="1" applyFill="1" applyBorder="1" applyAlignment="1" applyProtection="1">
      <alignment horizontal="fill"/>
    </xf>
    <xf numFmtId="169" fontId="39" fillId="0" borderId="0" xfId="1" applyNumberFormat="1" applyFont="1" applyFill="1" applyBorder="1" applyAlignment="1" applyProtection="1">
      <alignment horizontal="right"/>
    </xf>
    <xf numFmtId="49" fontId="39" fillId="0" borderId="1" xfId="3" applyNumberFormat="1" applyFont="1" applyFill="1" applyBorder="1" applyAlignment="1">
      <alignment horizontal="center"/>
    </xf>
    <xf numFmtId="169" fontId="39" fillId="0" borderId="1" xfId="1" applyNumberFormat="1" applyFont="1" applyFill="1" applyBorder="1" applyAlignment="1">
      <alignment horizontal="right"/>
    </xf>
    <xf numFmtId="49" fontId="39" fillId="0" borderId="3" xfId="3" applyNumberFormat="1" applyFont="1" applyFill="1" applyBorder="1" applyAlignment="1">
      <alignment horizontal="center"/>
    </xf>
    <xf numFmtId="0" fontId="39" fillId="0" borderId="3" xfId="3" applyFont="1" applyFill="1" applyBorder="1" applyAlignment="1" applyProtection="1">
      <alignment horizontal="left"/>
    </xf>
    <xf numFmtId="10" fontId="39" fillId="0" borderId="3" xfId="4" applyNumberFormat="1" applyFont="1" applyFill="1" applyBorder="1" applyAlignment="1">
      <alignment horizontal="right"/>
    </xf>
    <xf numFmtId="49" fontId="39" fillId="0" borderId="0" xfId="3" applyNumberFormat="1" applyFont="1" applyFill="1" applyBorder="1" applyAlignment="1">
      <alignment horizontal="center"/>
    </xf>
    <xf numFmtId="37" fontId="39" fillId="0" borderId="0" xfId="1" applyNumberFormat="1" applyFont="1" applyFill="1" applyBorder="1" applyAlignment="1" applyProtection="1">
      <alignment horizontal="right"/>
    </xf>
    <xf numFmtId="37" fontId="39" fillId="0" borderId="0" xfId="1" applyNumberFormat="1" applyFont="1" applyFill="1" applyBorder="1" applyAlignment="1">
      <alignment horizontal="right"/>
    </xf>
    <xf numFmtId="37" fontId="39" fillId="0" borderId="0" xfId="1" applyNumberFormat="1" applyFont="1" applyFill="1" applyBorder="1" applyAlignment="1">
      <alignment horizontal="left"/>
    </xf>
    <xf numFmtId="10" fontId="39" fillId="0" borderId="0" xfId="4" applyNumberFormat="1" applyFont="1"/>
    <xf numFmtId="10" fontId="39" fillId="0" borderId="0" xfId="4" applyNumberFormat="1" applyFont="1" applyFill="1"/>
    <xf numFmtId="37" fontId="39" fillId="0" borderId="1" xfId="1" applyNumberFormat="1" applyFont="1" applyFill="1" applyBorder="1" applyAlignment="1">
      <alignment horizontal="right"/>
    </xf>
    <xf numFmtId="10" fontId="39" fillId="0" borderId="1" xfId="4" applyNumberFormat="1" applyFont="1" applyBorder="1"/>
    <xf numFmtId="10" fontId="39" fillId="0" borderId="1" xfId="4" applyNumberFormat="1" applyFont="1" applyFill="1" applyBorder="1"/>
    <xf numFmtId="49" fontId="39" fillId="0" borderId="1" xfId="1" applyNumberFormat="1" applyFont="1" applyFill="1" applyBorder="1" applyAlignment="1">
      <alignment horizontal="center"/>
    </xf>
    <xf numFmtId="169" fontId="39" fillId="0" borderId="1" xfId="1" applyNumberFormat="1" applyFont="1" applyFill="1" applyBorder="1" applyAlignment="1" applyProtection="1">
      <alignment horizontal="left"/>
    </xf>
    <xf numFmtId="10" fontId="39" fillId="0" borderId="4" xfId="4" applyNumberFormat="1" applyFont="1" applyBorder="1"/>
    <xf numFmtId="10" fontId="39" fillId="0" borderId="4" xfId="4" applyNumberFormat="1" applyFont="1" applyFill="1" applyBorder="1"/>
    <xf numFmtId="49" fontId="39" fillId="0" borderId="0" xfId="1" applyNumberFormat="1" applyFont="1" applyFill="1" applyAlignment="1">
      <alignment horizontal="center"/>
    </xf>
    <xf numFmtId="169" fontId="39" fillId="0" borderId="0" xfId="1" applyNumberFormat="1" applyFont="1" applyFill="1" applyAlignment="1" applyProtection="1">
      <alignment horizontal="left"/>
    </xf>
    <xf numFmtId="37" fontId="39" fillId="0" borderId="0" xfId="1" applyNumberFormat="1" applyFont="1" applyFill="1" applyAlignment="1" applyProtection="1">
      <alignment horizontal="right"/>
    </xf>
    <xf numFmtId="49" fontId="39" fillId="0" borderId="0" xfId="1" applyNumberFormat="1" applyFont="1" applyFill="1" applyBorder="1" applyAlignment="1">
      <alignment horizontal="center"/>
    </xf>
    <xf numFmtId="169" fontId="39" fillId="0" borderId="0" xfId="1" applyNumberFormat="1" applyFont="1" applyFill="1" applyBorder="1" applyAlignment="1" applyProtection="1">
      <alignment horizontal="left"/>
    </xf>
    <xf numFmtId="49" fontId="39" fillId="0" borderId="3" xfId="1" applyNumberFormat="1" applyFont="1" applyFill="1" applyBorder="1" applyAlignment="1">
      <alignment horizontal="center"/>
    </xf>
    <xf numFmtId="169" fontId="39" fillId="0" borderId="3" xfId="1" applyNumberFormat="1" applyFont="1" applyFill="1" applyBorder="1" applyAlignment="1" applyProtection="1">
      <alignment horizontal="left"/>
    </xf>
    <xf numFmtId="37" fontId="39" fillId="0" borderId="3" xfId="1" applyNumberFormat="1" applyFont="1" applyFill="1" applyBorder="1" applyAlignment="1" applyProtection="1">
      <alignment horizontal="right"/>
    </xf>
    <xf numFmtId="10" fontId="39" fillId="0" borderId="3" xfId="4" applyNumberFormat="1" applyFont="1" applyBorder="1"/>
    <xf numFmtId="10" fontId="39" fillId="0" borderId="3" xfId="4" applyNumberFormat="1" applyFont="1" applyFill="1" applyBorder="1"/>
    <xf numFmtId="49" fontId="39" fillId="0" borderId="5" xfId="1" applyNumberFormat="1" applyFont="1" applyFill="1" applyBorder="1" applyAlignment="1">
      <alignment horizontal="center"/>
    </xf>
    <xf numFmtId="169" fontId="39" fillId="0" borderId="5" xfId="1" applyNumberFormat="1" applyFont="1" applyFill="1" applyBorder="1" applyAlignment="1" applyProtection="1">
      <alignment horizontal="left"/>
    </xf>
    <xf numFmtId="10" fontId="39" fillId="0" borderId="5" xfId="4" applyNumberFormat="1" applyFont="1" applyFill="1" applyBorder="1" applyAlignment="1">
      <alignment horizontal="right"/>
    </xf>
    <xf numFmtId="0" fontId="39" fillId="0" borderId="5" xfId="3" applyFont="1" applyBorder="1"/>
    <xf numFmtId="0" fontId="39" fillId="0" borderId="5" xfId="3" applyFont="1" applyFill="1" applyBorder="1"/>
    <xf numFmtId="169" fontId="39" fillId="0" borderId="1" xfId="1" applyNumberFormat="1" applyFont="1" applyFill="1" applyBorder="1" applyAlignment="1" applyProtection="1">
      <alignment horizontal="right"/>
    </xf>
    <xf numFmtId="49" fontId="39" fillId="0" borderId="1" xfId="1" applyNumberFormat="1" applyFont="1" applyFill="1" applyBorder="1"/>
    <xf numFmtId="37" fontId="39" fillId="0" borderId="1" xfId="1" applyNumberFormat="1" applyFont="1" applyFill="1" applyBorder="1" applyAlignment="1" applyProtection="1">
      <alignment horizontal="right"/>
      <protection locked="0"/>
    </xf>
    <xf numFmtId="10" fontId="39" fillId="0" borderId="1" xfId="4" applyNumberFormat="1" applyFont="1" applyFill="1" applyBorder="1" applyAlignment="1">
      <alignment horizontal="right"/>
    </xf>
    <xf numFmtId="49" fontId="39" fillId="0" borderId="0" xfId="1" applyNumberFormat="1" applyFont="1" applyFill="1"/>
    <xf numFmtId="10" fontId="39" fillId="0" borderId="0" xfId="4" applyNumberFormat="1" applyFont="1" applyFill="1" applyBorder="1" applyAlignment="1" applyProtection="1">
      <alignment horizontal="right"/>
    </xf>
    <xf numFmtId="37" fontId="39" fillId="0" borderId="0" xfId="1" applyNumberFormat="1" applyFont="1" applyFill="1" applyAlignment="1" applyProtection="1">
      <alignment horizontal="right"/>
      <protection locked="0"/>
    </xf>
    <xf numFmtId="10" fontId="39" fillId="0" borderId="0" xfId="4" applyNumberFormat="1" applyFont="1" applyFill="1" applyAlignment="1">
      <alignment horizontal="right"/>
    </xf>
    <xf numFmtId="169" fontId="39" fillId="0" borderId="2" xfId="1" applyNumberFormat="1" applyFont="1" applyFill="1" applyBorder="1" applyAlignment="1" applyProtection="1">
      <alignment horizontal="left"/>
    </xf>
    <xf numFmtId="10" fontId="39" fillId="0" borderId="2" xfId="4" applyNumberFormat="1" applyFont="1" applyFill="1" applyBorder="1" applyAlignment="1" applyProtection="1">
      <alignment horizontal="right"/>
    </xf>
    <xf numFmtId="37" fontId="39" fillId="0" borderId="2" xfId="1" applyNumberFormat="1" applyFont="1" applyFill="1" applyBorder="1" applyAlignment="1" applyProtection="1">
      <alignment horizontal="right"/>
      <protection locked="0"/>
    </xf>
    <xf numFmtId="10" fontId="39" fillId="0" borderId="2" xfId="4" applyNumberFormat="1" applyFont="1" applyFill="1" applyBorder="1" applyAlignment="1">
      <alignment horizontal="right"/>
    </xf>
    <xf numFmtId="37" fontId="39" fillId="0" borderId="2" xfId="1" applyNumberFormat="1" applyFont="1" applyFill="1" applyBorder="1" applyAlignment="1">
      <alignment horizontal="right"/>
    </xf>
    <xf numFmtId="49" fontId="39" fillId="0" borderId="0" xfId="4" applyNumberFormat="1" applyFont="1" applyFill="1" applyBorder="1" applyAlignment="1" applyProtection="1">
      <alignment horizontal="right"/>
    </xf>
    <xf numFmtId="10" fontId="39" fillId="0" borderId="0" xfId="4" applyNumberFormat="1" applyFont="1" applyFill="1" applyBorder="1" applyAlignment="1" applyProtection="1">
      <alignment horizontal="left"/>
    </xf>
    <xf numFmtId="10" fontId="39" fillId="0" borderId="0" xfId="4" applyNumberFormat="1" applyFont="1" applyFill="1" applyAlignment="1" applyProtection="1">
      <alignment horizontal="right"/>
    </xf>
    <xf numFmtId="49" fontId="39" fillId="0" borderId="1" xfId="4" applyNumberFormat="1" applyFont="1" applyFill="1" applyBorder="1" applyAlignment="1" applyProtection="1">
      <alignment horizontal="right"/>
    </xf>
    <xf numFmtId="10" fontId="39" fillId="0" borderId="1" xfId="4" applyNumberFormat="1" applyFont="1" applyFill="1" applyBorder="1" applyAlignment="1" applyProtection="1">
      <alignment horizontal="left"/>
    </xf>
    <xf numFmtId="10" fontId="39" fillId="0" borderId="1" xfId="4" applyNumberFormat="1" applyFont="1" applyFill="1" applyBorder="1" applyAlignment="1" applyProtection="1">
      <alignment horizontal="right"/>
    </xf>
    <xf numFmtId="49" fontId="39" fillId="0" borderId="2" xfId="4" applyNumberFormat="1" applyFont="1" applyFill="1" applyBorder="1" applyAlignment="1" applyProtection="1">
      <alignment horizontal="right"/>
    </xf>
    <xf numFmtId="10" fontId="39" fillId="0" borderId="2" xfId="4" applyNumberFormat="1" applyFont="1" applyFill="1" applyBorder="1" applyAlignment="1" applyProtection="1">
      <alignment horizontal="left"/>
    </xf>
    <xf numFmtId="166" fontId="39" fillId="0" borderId="0" xfId="3" applyNumberFormat="1" applyFont="1" applyFill="1" applyBorder="1" applyAlignment="1" applyProtection="1">
      <alignment horizontal="right"/>
    </xf>
    <xf numFmtId="0" fontId="39" fillId="0" borderId="0" xfId="3" applyFont="1" applyFill="1" applyBorder="1" applyAlignment="1" applyProtection="1">
      <alignment horizontal="fill"/>
    </xf>
    <xf numFmtId="166" fontId="39" fillId="0" borderId="1" xfId="3" applyNumberFormat="1" applyFont="1" applyFill="1" applyBorder="1" applyAlignment="1" applyProtection="1">
      <alignment horizontal="right"/>
    </xf>
    <xf numFmtId="174" fontId="39" fillId="0" borderId="0" xfId="1" applyNumberFormat="1" applyFont="1" applyFill="1" applyAlignment="1" applyProtection="1">
      <alignment horizontal="right"/>
    </xf>
    <xf numFmtId="174" fontId="39" fillId="0" borderId="0" xfId="3" applyNumberFormat="1" applyFont="1" applyFill="1" applyBorder="1" applyAlignment="1" applyProtection="1">
      <alignment horizontal="right"/>
    </xf>
    <xf numFmtId="174" fontId="39" fillId="0" borderId="1" xfId="1" applyNumberFormat="1" applyFont="1" applyFill="1" applyBorder="1" applyAlignment="1" applyProtection="1">
      <alignment horizontal="right"/>
    </xf>
    <xf numFmtId="174" fontId="39" fillId="0" borderId="1" xfId="3" applyNumberFormat="1" applyFont="1" applyFill="1" applyBorder="1" applyAlignment="1" applyProtection="1">
      <alignment horizontal="right"/>
    </xf>
    <xf numFmtId="165" fontId="39" fillId="0" borderId="0" xfId="3" applyNumberFormat="1" applyFont="1" applyFill="1" applyAlignment="1" applyProtection="1">
      <alignment horizontal="left"/>
    </xf>
    <xf numFmtId="174" fontId="39" fillId="0" borderId="0" xfId="1" applyNumberFormat="1" applyFont="1" applyFill="1" applyBorder="1" applyAlignment="1" applyProtection="1">
      <alignment horizontal="right"/>
    </xf>
    <xf numFmtId="49" fontId="39" fillId="0" borderId="2" xfId="3" applyNumberFormat="1" applyFont="1" applyFill="1" applyBorder="1"/>
    <xf numFmtId="174" fontId="39" fillId="0" borderId="2" xfId="1" applyNumberFormat="1" applyFont="1" applyFill="1" applyBorder="1" applyAlignment="1" applyProtection="1">
      <alignment horizontal="right"/>
    </xf>
    <xf numFmtId="174" fontId="39" fillId="0" borderId="2" xfId="3" applyNumberFormat="1" applyFont="1" applyFill="1" applyBorder="1" applyAlignment="1" applyProtection="1">
      <alignment horizontal="right"/>
    </xf>
    <xf numFmtId="174" fontId="39" fillId="0" borderId="0" xfId="1" applyNumberFormat="1" applyFont="1" applyFill="1" applyBorder="1" applyAlignment="1">
      <alignment horizontal="right"/>
    </xf>
    <xf numFmtId="49" fontId="39" fillId="0" borderId="2" xfId="1" applyNumberFormat="1" applyFont="1" applyFill="1" applyBorder="1" applyAlignment="1" applyProtection="1">
      <alignment horizontal="fill"/>
    </xf>
    <xf numFmtId="43" fontId="40" fillId="0" borderId="2" xfId="1" applyNumberFormat="1" applyFont="1" applyFill="1" applyBorder="1" applyAlignment="1" applyProtection="1">
      <alignment horizontal="left"/>
    </xf>
    <xf numFmtId="43" fontId="39" fillId="0" borderId="0" xfId="1" applyNumberFormat="1" applyFont="1" applyFill="1" applyBorder="1" applyAlignment="1">
      <alignment horizontal="right"/>
    </xf>
    <xf numFmtId="165" fontId="40" fillId="0" borderId="1" xfId="3" applyNumberFormat="1" applyFont="1" applyFill="1" applyBorder="1" applyAlignment="1" applyProtection="1">
      <alignment horizontal="left"/>
    </xf>
    <xf numFmtId="43" fontId="39" fillId="0" borderId="1" xfId="1" applyNumberFormat="1" applyFont="1" applyFill="1" applyBorder="1" applyAlignment="1" applyProtection="1">
      <alignment horizontal="right"/>
    </xf>
    <xf numFmtId="43" fontId="39" fillId="0" borderId="0" xfId="1" applyNumberFormat="1" applyFont="1" applyFill="1" applyBorder="1" applyAlignment="1" applyProtection="1">
      <alignment horizontal="right"/>
    </xf>
    <xf numFmtId="0" fontId="39" fillId="0" borderId="1" xfId="3" applyFont="1" applyFill="1" applyBorder="1" applyAlignment="1" applyProtection="1">
      <alignment horizontal="right"/>
    </xf>
    <xf numFmtId="10" fontId="39" fillId="0" borderId="0" xfId="3" applyNumberFormat="1" applyFont="1" applyFill="1" applyAlignment="1" applyProtection="1">
      <alignment horizontal="right"/>
    </xf>
    <xf numFmtId="49" fontId="39" fillId="0" borderId="6" xfId="3" applyNumberFormat="1" applyFont="1" applyFill="1" applyBorder="1" applyAlignment="1" applyProtection="1">
      <alignment horizontal="fill"/>
    </xf>
    <xf numFmtId="0" fontId="39" fillId="0" borderId="6" xfId="3" applyFont="1" applyFill="1" applyBorder="1" applyAlignment="1" applyProtection="1">
      <alignment horizontal="fill"/>
    </xf>
    <xf numFmtId="169" fontId="39" fillId="0" borderId="6" xfId="1" applyNumberFormat="1" applyFont="1" applyFill="1" applyBorder="1" applyAlignment="1" applyProtection="1">
      <alignment horizontal="fill"/>
    </xf>
    <xf numFmtId="39" fontId="39" fillId="0" borderId="0" xfId="3" applyNumberFormat="1" applyFont="1" applyFill="1" applyBorder="1" applyProtection="1"/>
    <xf numFmtId="39" fontId="39" fillId="0" borderId="1" xfId="3" applyNumberFormat="1" applyFont="1" applyFill="1" applyBorder="1" applyAlignment="1" applyProtection="1">
      <alignment horizontal="right"/>
    </xf>
    <xf numFmtId="39" fontId="39" fillId="0" borderId="1" xfId="1" applyNumberFormat="1" applyFont="1" applyFill="1" applyBorder="1" applyAlignment="1" applyProtection="1">
      <alignment horizontal="right"/>
    </xf>
    <xf numFmtId="39" fontId="39" fillId="0" borderId="0" xfId="1" applyNumberFormat="1" applyFont="1" applyFill="1" applyAlignment="1" applyProtection="1">
      <alignment horizontal="right"/>
    </xf>
    <xf numFmtId="39" fontId="39" fillId="0" borderId="2" xfId="1" applyNumberFormat="1" applyFont="1" applyFill="1" applyBorder="1" applyAlignment="1" applyProtection="1">
      <alignment horizontal="right"/>
    </xf>
    <xf numFmtId="0" fontId="39" fillId="0" borderId="0" xfId="3" applyFont="1" applyFill="1" applyBorder="1" applyAlignment="1" applyProtection="1">
      <alignment horizontal="right"/>
    </xf>
    <xf numFmtId="169" fontId="40" fillId="0" borderId="1" xfId="1" applyNumberFormat="1" applyFont="1" applyFill="1" applyBorder="1" applyAlignment="1" applyProtection="1">
      <alignment horizontal="left"/>
    </xf>
    <xf numFmtId="49" fontId="39" fillId="0" borderId="7" xfId="1" applyNumberFormat="1" applyFont="1" applyFill="1" applyBorder="1"/>
    <xf numFmtId="169" fontId="39" fillId="0" borderId="7" xfId="1" applyNumberFormat="1" applyFont="1" applyFill="1" applyBorder="1" applyAlignment="1" applyProtection="1">
      <alignment horizontal="left"/>
    </xf>
    <xf numFmtId="37" fontId="39" fillId="0" borderId="7" xfId="1" applyNumberFormat="1" applyFont="1" applyFill="1" applyBorder="1" applyAlignment="1" applyProtection="1">
      <alignment horizontal="right"/>
    </xf>
    <xf numFmtId="49" fontId="39" fillId="0" borderId="8" xfId="1" applyNumberFormat="1" applyFont="1" applyFill="1" applyBorder="1"/>
    <xf numFmtId="169" fontId="39" fillId="0" borderId="8" xfId="1" applyNumberFormat="1" applyFont="1" applyFill="1" applyBorder="1" applyAlignment="1" applyProtection="1">
      <alignment horizontal="left"/>
    </xf>
    <xf numFmtId="37" fontId="39" fillId="0" borderId="8" xfId="1" applyNumberFormat="1" applyFont="1" applyFill="1" applyBorder="1" applyAlignment="1" applyProtection="1">
      <alignment horizontal="right"/>
    </xf>
    <xf numFmtId="49" fontId="40" fillId="0" borderId="1" xfId="3" applyNumberFormat="1" applyFont="1" applyFill="1" applyBorder="1"/>
    <xf numFmtId="169" fontId="39" fillId="0" borderId="0" xfId="1" applyNumberFormat="1" applyFont="1" applyFill="1" applyAlignment="1" applyProtection="1">
      <alignment horizontal="right"/>
    </xf>
    <xf numFmtId="169" fontId="39" fillId="0" borderId="0" xfId="1" applyNumberFormat="1" applyFont="1" applyFill="1" applyAlignment="1" applyProtection="1"/>
    <xf numFmtId="169" fontId="39" fillId="0" borderId="2" xfId="1" applyNumberFormat="1" applyFont="1" applyFill="1" applyBorder="1" applyAlignment="1" applyProtection="1">
      <alignment horizontal="right"/>
    </xf>
    <xf numFmtId="37" fontId="39" fillId="0" borderId="2" xfId="3" applyNumberFormat="1" applyFont="1" applyFill="1" applyBorder="1" applyAlignment="1" applyProtection="1">
      <alignment horizontal="left"/>
    </xf>
    <xf numFmtId="169" fontId="39" fillId="0" borderId="6" xfId="1" applyNumberFormat="1" applyFont="1" applyFill="1" applyBorder="1" applyAlignment="1" applyProtection="1">
      <alignment horizontal="right"/>
    </xf>
    <xf numFmtId="3" fontId="39" fillId="0" borderId="6" xfId="3" applyNumberFormat="1" applyFont="1" applyFill="1" applyBorder="1" applyAlignment="1" applyProtection="1">
      <alignment horizontal="right"/>
    </xf>
    <xf numFmtId="39" fontId="39" fillId="0" borderId="0" xfId="3" applyNumberFormat="1" applyFont="1" applyFill="1" applyBorder="1" applyAlignment="1" applyProtection="1">
      <alignment horizontal="right"/>
    </xf>
    <xf numFmtId="0" fontId="39" fillId="0" borderId="1" xfId="3" applyFont="1" applyFill="1" applyBorder="1" applyAlignment="1">
      <alignment horizontal="right"/>
    </xf>
    <xf numFmtId="37" fontId="39" fillId="0" borderId="0" xfId="3" applyNumberFormat="1" applyFont="1" applyFill="1" applyAlignment="1" applyProtection="1">
      <alignment horizontal="left"/>
    </xf>
    <xf numFmtId="37" fontId="40" fillId="0" borderId="1" xfId="3" applyNumberFormat="1" applyFont="1" applyFill="1" applyBorder="1" applyAlignment="1" applyProtection="1">
      <alignment horizontal="left"/>
    </xf>
    <xf numFmtId="37" fontId="39" fillId="0" borderId="1" xfId="3" applyNumberFormat="1" applyFont="1" applyFill="1" applyBorder="1" applyAlignment="1">
      <alignment horizontal="right"/>
    </xf>
    <xf numFmtId="0" fontId="39" fillId="0" borderId="6" xfId="3" applyFont="1" applyFill="1" applyBorder="1" applyAlignment="1" applyProtection="1">
      <alignment horizontal="right"/>
    </xf>
    <xf numFmtId="166" fontId="39" fillId="0" borderId="0" xfId="3" applyNumberFormat="1" applyFont="1" applyFill="1" applyAlignment="1" applyProtection="1">
      <alignment horizontal="right"/>
    </xf>
    <xf numFmtId="49" fontId="39" fillId="0" borderId="2" xfId="4" applyNumberFormat="1" applyFont="1" applyFill="1" applyBorder="1"/>
    <xf numFmtId="43" fontId="39" fillId="0" borderId="0" xfId="1" applyNumberFormat="1" applyFont="1" applyFill="1" applyAlignment="1" applyProtection="1">
      <alignment horizontal="right"/>
    </xf>
    <xf numFmtId="43" fontId="39" fillId="0" borderId="1" xfId="1" applyFont="1" applyFill="1" applyBorder="1" applyAlignment="1" applyProtection="1">
      <alignment horizontal="right"/>
    </xf>
    <xf numFmtId="39" fontId="39" fillId="0" borderId="0" xfId="1" applyNumberFormat="1" applyFont="1" applyFill="1" applyBorder="1" applyAlignment="1" applyProtection="1">
      <alignment horizontal="right"/>
    </xf>
    <xf numFmtId="169" fontId="40" fillId="0" borderId="0" xfId="1" applyNumberFormat="1" applyFont="1" applyFill="1" applyAlignment="1">
      <alignment horizontal="right"/>
    </xf>
    <xf numFmtId="0" fontId="39" fillId="0" borderId="1" xfId="3" applyFont="1" applyFill="1" applyBorder="1" applyAlignment="1" applyProtection="1"/>
    <xf numFmtId="169" fontId="40" fillId="0" borderId="1" xfId="1" applyNumberFormat="1" applyFont="1" applyFill="1" applyBorder="1" applyAlignment="1">
      <alignment horizontal="right"/>
    </xf>
    <xf numFmtId="43" fontId="39" fillId="0" borderId="1" xfId="1" applyFont="1" applyFill="1" applyBorder="1"/>
    <xf numFmtId="49" fontId="39" fillId="0" borderId="3" xfId="3" applyNumberFormat="1" applyFont="1" applyFill="1" applyBorder="1"/>
    <xf numFmtId="0" fontId="39" fillId="0" borderId="3" xfId="3" applyFont="1" applyFill="1" applyBorder="1"/>
    <xf numFmtId="169" fontId="39" fillId="0" borderId="3" xfId="1" applyNumberFormat="1" applyFont="1" applyFill="1" applyBorder="1"/>
    <xf numFmtId="169" fontId="39" fillId="0" borderId="0" xfId="1" applyNumberFormat="1" applyFont="1" applyFill="1" applyAlignment="1">
      <alignment horizontal="right"/>
    </xf>
    <xf numFmtId="0" fontId="39" fillId="0" borderId="0" xfId="3" applyFont="1" applyFill="1" applyAlignment="1">
      <alignment horizontal="right"/>
    </xf>
    <xf numFmtId="0" fontId="40" fillId="0" borderId="0" xfId="3" applyFont="1" applyFill="1" applyAlignment="1">
      <alignment horizontal="right"/>
    </xf>
    <xf numFmtId="49" fontId="40" fillId="0" borderId="1" xfId="3" applyNumberFormat="1" applyFont="1" applyFill="1" applyBorder="1" applyAlignment="1">
      <alignment horizontal="center"/>
    </xf>
    <xf numFmtId="0" fontId="40" fillId="0" borderId="1" xfId="3" applyFont="1" applyFill="1" applyBorder="1"/>
    <xf numFmtId="0" fontId="40" fillId="0" borderId="1" xfId="3" applyFont="1" applyFill="1" applyBorder="1" applyAlignment="1">
      <alignment horizontal="right"/>
    </xf>
    <xf numFmtId="49" fontId="39" fillId="0" borderId="0" xfId="3" applyNumberFormat="1" applyFont="1" applyFill="1" applyAlignment="1">
      <alignment horizontal="center"/>
    </xf>
    <xf numFmtId="39" fontId="39" fillId="0" borderId="0" xfId="2" applyNumberFormat="1" applyFont="1" applyFill="1" applyAlignment="1">
      <alignment horizontal="right"/>
    </xf>
    <xf numFmtId="49" fontId="39" fillId="0" borderId="7" xfId="3" applyNumberFormat="1" applyFont="1" applyFill="1" applyBorder="1" applyAlignment="1">
      <alignment horizontal="center"/>
    </xf>
    <xf numFmtId="0" fontId="39" fillId="0" borderId="7" xfId="3" applyFont="1" applyFill="1" applyBorder="1"/>
    <xf numFmtId="37" fontId="39" fillId="0" borderId="7" xfId="1" applyNumberFormat="1" applyFont="1" applyFill="1" applyBorder="1" applyAlignment="1">
      <alignment horizontal="right"/>
    </xf>
    <xf numFmtId="37" fontId="39" fillId="0" borderId="7" xfId="3" applyNumberFormat="1" applyFont="1" applyFill="1" applyBorder="1" applyAlignment="1">
      <alignment horizontal="right"/>
    </xf>
    <xf numFmtId="37" fontId="39" fillId="0" borderId="0" xfId="2" applyNumberFormat="1" applyFont="1" applyFill="1" applyBorder="1" applyAlignment="1">
      <alignment horizontal="right"/>
    </xf>
    <xf numFmtId="39" fontId="39" fillId="0" borderId="7" xfId="3" applyNumberFormat="1" applyFont="1" applyFill="1" applyBorder="1" applyAlignment="1">
      <alignment horizontal="right"/>
    </xf>
    <xf numFmtId="37" fontId="39" fillId="0" borderId="0" xfId="1" applyNumberFormat="1" applyFont="1" applyFill="1" applyAlignment="1">
      <alignment horizontal="right"/>
    </xf>
    <xf numFmtId="37" fontId="39" fillId="0" borderId="0" xfId="3" applyNumberFormat="1" applyFont="1" applyFill="1" applyAlignment="1">
      <alignment horizontal="right"/>
    </xf>
    <xf numFmtId="37" fontId="39" fillId="0" borderId="0" xfId="3" applyNumberFormat="1" applyFont="1" applyFill="1" applyBorder="1" applyAlignment="1">
      <alignment horizontal="left"/>
    </xf>
    <xf numFmtId="0" fontId="39" fillId="0" borderId="2" xfId="3" applyFont="1" applyFill="1" applyBorder="1"/>
    <xf numFmtId="0" fontId="41" fillId="0" borderId="0" xfId="3" applyFont="1" applyFill="1" applyBorder="1" applyAlignment="1">
      <alignment horizontal="center"/>
    </xf>
    <xf numFmtId="181" fontId="41" fillId="0" borderId="0" xfId="3" applyNumberFormat="1" applyFont="1" applyFill="1" applyBorder="1" applyAlignment="1" applyProtection="1">
      <alignment horizontal="center"/>
      <protection hidden="1"/>
    </xf>
    <xf numFmtId="0" fontId="40" fillId="0" borderId="0" xfId="3" applyFont="1" applyFill="1" applyAlignment="1">
      <alignment horizontal="left"/>
    </xf>
    <xf numFmtId="0" fontId="39" fillId="0" borderId="0" xfId="3" applyFont="1" applyFill="1" applyAlignment="1">
      <alignment horizontal="left"/>
    </xf>
    <xf numFmtId="181" fontId="39" fillId="0" borderId="0" xfId="3" applyNumberFormat="1" applyFont="1" applyFill="1" applyAlignment="1">
      <alignment horizontal="right"/>
    </xf>
  </cellXfs>
  <cellStyles count="13">
    <cellStyle name="Comma" xfId="9" builtinId="3"/>
    <cellStyle name="Comma 2" xfId="8"/>
    <cellStyle name="Comma_Analysis" xfId="1"/>
    <cellStyle name="Comma_report" xfId="5"/>
    <cellStyle name="Currency" xfId="2" builtinId="4"/>
    <cellStyle name="Input" xfId="11" builtinId="20"/>
    <cellStyle name="Linked Cell" xfId="12" builtinId="24"/>
    <cellStyle name="Neutral" xfId="10" builtinId="28"/>
    <cellStyle name="Normal" xfId="0" builtinId="0"/>
    <cellStyle name="Normal_Analysis" xfId="3"/>
    <cellStyle name="Normal_plan" xfId="6"/>
    <cellStyle name="Normal_report" xfId="7"/>
    <cellStyle name="Percent" xfId="4" builtinId="5"/>
  </cellStyles>
  <dxfs count="0"/>
  <tableStyles count="0" defaultTableStyle="TableStyleMedium9" defaultPivotStyle="PivotStyleLight16"/>
  <colors>
    <mruColors>
      <color rgb="FFFF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worksheet" Target="worksheets/sheet6.xml"/><Relationship Id="rId26" Type="http://schemas.openxmlformats.org/officeDocument/2006/relationships/worksheet" Target="worksheets/sheet14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9.xml"/><Relationship Id="rId34" Type="http://schemas.openxmlformats.org/officeDocument/2006/relationships/calcChain" Target="calcChain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worksheet" Target="worksheets/sheet5.xml"/><Relationship Id="rId25" Type="http://schemas.openxmlformats.org/officeDocument/2006/relationships/worksheet" Target="worksheets/sheet13.xml"/><Relationship Id="rId33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4.xml"/><Relationship Id="rId20" Type="http://schemas.openxmlformats.org/officeDocument/2006/relationships/worksheet" Target="worksheets/sheet8.xml"/><Relationship Id="rId29" Type="http://schemas.openxmlformats.org/officeDocument/2006/relationships/worksheet" Target="worksheets/sheet17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worksheet" Target="worksheets/sheet12.xml"/><Relationship Id="rId32" Type="http://schemas.openxmlformats.org/officeDocument/2006/relationships/styles" Target="styles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3.xml"/><Relationship Id="rId23" Type="http://schemas.openxmlformats.org/officeDocument/2006/relationships/worksheet" Target="worksheets/sheet11.xml"/><Relationship Id="rId28" Type="http://schemas.openxmlformats.org/officeDocument/2006/relationships/worksheet" Target="worksheets/sheet16.xml"/><Relationship Id="rId10" Type="http://schemas.openxmlformats.org/officeDocument/2006/relationships/chartsheet" Target="chartsheets/sheet9.xml"/><Relationship Id="rId19" Type="http://schemas.openxmlformats.org/officeDocument/2006/relationships/worksheet" Target="worksheets/sheet7.xml"/><Relationship Id="rId31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worksheet" Target="worksheets/sheet2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5.xml"/><Relationship Id="rId30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Revenue and Profit</a:t>
            </a:r>
          </a:p>
        </c:rich>
      </c:tx>
      <c:layout>
        <c:manualLayout>
          <c:xMode val="edge"/>
          <c:yMode val="edge"/>
          <c:x val="0.41953385826771655"/>
          <c:y val="1.9575842708695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03583361735727E-2"/>
          <c:y val="0.12398042414355628"/>
          <c:w val="0.83897865773459823"/>
          <c:h val="0.72920065252854815"/>
        </c:manualLayout>
      </c:layout>
      <c:lineChart>
        <c:grouping val="standard"/>
        <c:varyColors val="0"/>
        <c:ser>
          <c:idx val="2"/>
          <c:order val="0"/>
          <c:tx>
            <c:strRef>
              <c:f>'Tab-14 CurrentData'!$B$137</c:f>
              <c:strCache>
                <c:ptCount val="1"/>
                <c:pt idx="0">
                  <c:v>Net Revenue-Actual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'Tab-14 CurrentData'!$C$6:$N$6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'Tab-14 CurrentData'!$C$137:$N$137</c:f>
              <c:numCache>
                <c:formatCode>#,##0_);\(#,##0\)</c:formatCode>
                <c:ptCount val="12"/>
                <c:pt idx="0">
                  <c:v>219687.20000000004</c:v>
                </c:pt>
                <c:pt idx="1">
                  <c:v>339612.02</c:v>
                </c:pt>
                <c:pt idx="2">
                  <c:v>583116.66999999993</c:v>
                </c:pt>
                <c:pt idx="3">
                  <c:v>740448.1399999999</c:v>
                </c:pt>
                <c:pt idx="4">
                  <c:v>824051.33999999985</c:v>
                </c:pt>
                <c:pt idx="5">
                  <c:v>909417.34999999986</c:v>
                </c:pt>
                <c:pt idx="6">
                  <c:v>909417.34999999986</c:v>
                </c:pt>
                <c:pt idx="7">
                  <c:v>909417.34999999986</c:v>
                </c:pt>
                <c:pt idx="8">
                  <c:v>909417.34999999986</c:v>
                </c:pt>
                <c:pt idx="9">
                  <c:v>909417.34999999986</c:v>
                </c:pt>
                <c:pt idx="10">
                  <c:v>909417.34999999986</c:v>
                </c:pt>
                <c:pt idx="11">
                  <c:v>909417.34999999986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'Tab-14 CurrentData'!$B$138</c:f>
              <c:strCache>
                <c:ptCount val="1"/>
                <c:pt idx="0">
                  <c:v>Net Revenue-Budget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'Tab-14 CurrentData'!$C$6:$N$6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'Tab-14 CurrentData'!$C$138:$N$138</c:f>
              <c:numCache>
                <c:formatCode>#,##0_);\(#,##0\)</c:formatCode>
                <c:ptCount val="12"/>
                <c:pt idx="0">
                  <c:v>192707.28156987359</c:v>
                </c:pt>
                <c:pt idx="1">
                  <c:v>385414.56313974719</c:v>
                </c:pt>
                <c:pt idx="2">
                  <c:v>578121.84470962081</c:v>
                </c:pt>
                <c:pt idx="3">
                  <c:v>770829.12627949438</c:v>
                </c:pt>
                <c:pt idx="4">
                  <c:v>963536.40784936794</c:v>
                </c:pt>
                <c:pt idx="5">
                  <c:v>1156243.6894192416</c:v>
                </c:pt>
                <c:pt idx="6">
                  <c:v>1348950.9709891153</c:v>
                </c:pt>
                <c:pt idx="7">
                  <c:v>1541658.252558989</c:v>
                </c:pt>
                <c:pt idx="8">
                  <c:v>1734365.5341288627</c:v>
                </c:pt>
                <c:pt idx="9">
                  <c:v>1927072.8156987363</c:v>
                </c:pt>
                <c:pt idx="10">
                  <c:v>2119780.0972686098</c:v>
                </c:pt>
                <c:pt idx="11">
                  <c:v>2312487.3788384832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'Tab-14 CurrentData'!$B$139</c:f>
              <c:strCache>
                <c:ptCount val="1"/>
                <c:pt idx="0">
                  <c:v>Operating Profit-Actual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'Tab-14 CurrentData'!$C$6:$N$6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'Tab-14 CurrentData'!$C$139:$N$139</c:f>
              <c:numCache>
                <c:formatCode>#,##0_);\(#,##0\)</c:formatCode>
                <c:ptCount val="12"/>
                <c:pt idx="0">
                  <c:v>72272.810000000027</c:v>
                </c:pt>
                <c:pt idx="1">
                  <c:v>35021.560000000027</c:v>
                </c:pt>
                <c:pt idx="2">
                  <c:v>131100.15</c:v>
                </c:pt>
                <c:pt idx="3">
                  <c:v>136703.70000000001</c:v>
                </c:pt>
                <c:pt idx="4">
                  <c:v>82523.239999999991</c:v>
                </c:pt>
                <c:pt idx="5">
                  <c:v>24308.850000000006</c:v>
                </c:pt>
                <c:pt idx="6">
                  <c:v>24308.850000000006</c:v>
                </c:pt>
                <c:pt idx="7">
                  <c:v>24308.850000000006</c:v>
                </c:pt>
                <c:pt idx="8">
                  <c:v>24308.850000000006</c:v>
                </c:pt>
                <c:pt idx="9">
                  <c:v>24308.850000000006</c:v>
                </c:pt>
                <c:pt idx="10">
                  <c:v>24308.850000000006</c:v>
                </c:pt>
                <c:pt idx="11">
                  <c:v>24308.850000000006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'Tab-14 CurrentData'!$B$140</c:f>
              <c:strCache>
                <c:ptCount val="1"/>
                <c:pt idx="0">
                  <c:v>Operating Profit-Budget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'Tab-14 CurrentData'!$C$6:$N$6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'Tab-14 CurrentData'!$C$140:$N$140</c:f>
              <c:numCache>
                <c:formatCode>#,##0_);\(#,##0\)</c:formatCode>
                <c:ptCount val="12"/>
                <c:pt idx="0">
                  <c:v>31045.435817830468</c:v>
                </c:pt>
                <c:pt idx="1">
                  <c:v>62090.871635660937</c:v>
                </c:pt>
                <c:pt idx="2">
                  <c:v>93136.307453491405</c:v>
                </c:pt>
                <c:pt idx="3">
                  <c:v>124181.74327132187</c:v>
                </c:pt>
                <c:pt idx="4">
                  <c:v>155227.17908915234</c:v>
                </c:pt>
                <c:pt idx="5">
                  <c:v>186272.61490698281</c:v>
                </c:pt>
                <c:pt idx="6">
                  <c:v>217318.05072481328</c:v>
                </c:pt>
                <c:pt idx="7">
                  <c:v>248363.48654264375</c:v>
                </c:pt>
                <c:pt idx="8">
                  <c:v>279408.92236047424</c:v>
                </c:pt>
                <c:pt idx="9">
                  <c:v>310454.35817830474</c:v>
                </c:pt>
                <c:pt idx="10">
                  <c:v>341499.79399613524</c:v>
                </c:pt>
                <c:pt idx="11">
                  <c:v>372545.22981396574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65344"/>
        <c:axId val="43066880"/>
      </c:lineChart>
      <c:catAx>
        <c:axId val="43065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6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066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653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74583504475925"/>
          <c:y val="0.92307692307692313"/>
          <c:w val="0.71888888888888891"/>
          <c:h val="3.92798690671031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Revenue Factor</a:t>
            </a:r>
          </a:p>
        </c:rich>
      </c:tx>
      <c:layout>
        <c:manualLayout>
          <c:xMode val="edge"/>
          <c:yMode val="edge"/>
          <c:x val="0.42952277631962671"/>
          <c:y val="1.9575842708695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35841353164192E-2"/>
          <c:y val="0.12234910277324633"/>
          <c:w val="0.88524689413823276"/>
          <c:h val="0.71835723024248377"/>
        </c:manualLayout>
      </c:layout>
      <c:lineChart>
        <c:grouping val="standard"/>
        <c:varyColors val="0"/>
        <c:ser>
          <c:idx val="0"/>
          <c:order val="0"/>
          <c:tx>
            <c:strRef>
              <c:f>'Tab-15 PriorData'!$B$104</c:f>
              <c:strCache>
                <c:ptCount val="1"/>
                <c:pt idx="0">
                  <c:v>Labor percentage of net revenue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PriorData'!$C$104:$N$104</c:f>
              <c:numCache>
                <c:formatCode>0.00%</c:formatCode>
                <c:ptCount val="11"/>
                <c:pt idx="0">
                  <c:v>0.44409079920297589</c:v>
                </c:pt>
                <c:pt idx="1">
                  <c:v>0.54746742082003752</c:v>
                </c:pt>
                <c:pt idx="2">
                  <c:v>0.51383551236801717</c:v>
                </c:pt>
                <c:pt idx="3">
                  <c:v>0.51730508585643886</c:v>
                </c:pt>
                <c:pt idx="4">
                  <c:v>0.48010240608590626</c:v>
                </c:pt>
                <c:pt idx="5">
                  <c:v>0.57595284980847605</c:v>
                </c:pt>
                <c:pt idx="6">
                  <c:v>0.72156478943149749</c:v>
                </c:pt>
                <c:pt idx="7">
                  <c:v>0.6809662492868751</c:v>
                </c:pt>
                <c:pt idx="8">
                  <c:v>0.9090500190265578</c:v>
                </c:pt>
                <c:pt idx="9">
                  <c:v>0.60736041598502588</c:v>
                </c:pt>
                <c:pt idx="10">
                  <c:v>0.53922025887293945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'Tab-15 PriorData'!$B$124</c:f>
              <c:strCache>
                <c:ptCount val="1"/>
                <c:pt idx="0">
                  <c:v>Revenue factor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PriorData'!$C$124:$N$124</c:f>
              <c:numCache>
                <c:formatCode>#,##0.00_);\(#,##0.00\)</c:formatCode>
                <c:ptCount val="11"/>
                <c:pt idx="0">
                  <c:v>2.251791754737392</c:v>
                </c:pt>
                <c:pt idx="1">
                  <c:v>1.8265927103061683</c:v>
                </c:pt>
                <c:pt idx="2">
                  <c:v>1.9461480881138165</c:v>
                </c:pt>
                <c:pt idx="3">
                  <c:v>1.9330952417458296</c:v>
                </c:pt>
                <c:pt idx="4">
                  <c:v>2.0828889572802241</c:v>
                </c:pt>
                <c:pt idx="5">
                  <c:v>1.7362532372789441</c:v>
                </c:pt>
                <c:pt idx="6">
                  <c:v>1.3858769366890458</c:v>
                </c:pt>
                <c:pt idx="7">
                  <c:v>1.4685015609029448</c:v>
                </c:pt>
                <c:pt idx="8">
                  <c:v>1.1000494792033937</c:v>
                </c:pt>
                <c:pt idx="9">
                  <c:v>1.646468840709985</c:v>
                </c:pt>
                <c:pt idx="10">
                  <c:v>1.8545297279634247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'Tab-15 PriorData'!$B$125</c:f>
              <c:strCache>
                <c:ptCount val="1"/>
                <c:pt idx="0">
                  <c:v>Net multiplier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PriorData'!$C$125:$N$125</c:f>
              <c:numCache>
                <c:formatCode>#,##0.00_);\(#,##0.00\)</c:formatCode>
                <c:ptCount val="11"/>
                <c:pt idx="0">
                  <c:v>3.9594571487990664</c:v>
                </c:pt>
                <c:pt idx="1">
                  <c:v>3.2741021152543093</c:v>
                </c:pt>
                <c:pt idx="2">
                  <c:v>3.6146604304895282</c:v>
                </c:pt>
                <c:pt idx="3">
                  <c:v>3.6772893592287215</c:v>
                </c:pt>
                <c:pt idx="4">
                  <c:v>3.437128372173305</c:v>
                </c:pt>
                <c:pt idx="5">
                  <c:v>3.3218803305072204</c:v>
                </c:pt>
                <c:pt idx="6">
                  <c:v>2.6301617455342603</c:v>
                </c:pt>
                <c:pt idx="7">
                  <c:v>2.7894437878803098</c:v>
                </c:pt>
                <c:pt idx="8">
                  <c:v>1.7515788618091759</c:v>
                </c:pt>
                <c:pt idx="9">
                  <c:v>2.5287692764231884</c:v>
                </c:pt>
                <c:pt idx="10">
                  <c:v>3.8140606926114775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'Tab-15 PriorData'!$B$126</c:f>
              <c:strCache>
                <c:ptCount val="1"/>
                <c:pt idx="0">
                  <c:v>Utilization rate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PriorData'!$C$126:$N$126</c:f>
              <c:numCache>
                <c:formatCode>0.00%</c:formatCode>
                <c:ptCount val="11"/>
                <c:pt idx="0">
                  <c:v>0.56871224264174136</c:v>
                </c:pt>
                <c:pt idx="1">
                  <c:v>0.55789118543246519</c:v>
                </c:pt>
                <c:pt idx="2">
                  <c:v>0.53840412551567185</c:v>
                </c:pt>
                <c:pt idx="3">
                  <c:v>0.52568483274084232</c:v>
                </c:pt>
                <c:pt idx="4">
                  <c:v>0.60599684729354697</c:v>
                </c:pt>
                <c:pt idx="5">
                  <c:v>0.52267181973224008</c:v>
                </c:pt>
                <c:pt idx="6">
                  <c:v>0.52691700008264508</c:v>
                </c:pt>
                <c:pt idx="7">
                  <c:v>0.5264495980465177</c:v>
                </c:pt>
                <c:pt idx="8">
                  <c:v>0.62803308671307634</c:v>
                </c:pt>
                <c:pt idx="9">
                  <c:v>0.65109492434154725</c:v>
                </c:pt>
                <c:pt idx="10">
                  <c:v>0.4862349808842798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09248"/>
        <c:axId val="47110784"/>
      </c:lineChart>
      <c:catAx>
        <c:axId val="47109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1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110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09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777777777777777"/>
          <c:y val="0.95581014729950897"/>
          <c:w val="0.64111111111111119"/>
          <c:h val="3.92798690671031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Utilization Rates</a:t>
            </a:r>
          </a:p>
        </c:rich>
      </c:tx>
      <c:layout>
        <c:manualLayout>
          <c:xMode val="edge"/>
          <c:yMode val="edge"/>
          <c:x val="0.42730300379119279"/>
          <c:y val="1.9575842708695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2398042414355628"/>
          <c:w val="0.8867924528301887"/>
          <c:h val="0.70799347471451879"/>
        </c:manualLayout>
      </c:layout>
      <c:lineChart>
        <c:grouping val="standard"/>
        <c:varyColors val="0"/>
        <c:ser>
          <c:idx val="0"/>
          <c:order val="0"/>
          <c:tx>
            <c:strRef>
              <c:f>'Tab-15 PriorData'!$B$85</c:f>
              <c:strCache>
                <c:ptCount val="1"/>
                <c:pt idx="0">
                  <c:v>Firm-wide dollars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PriorData'!$C$85:$N$85</c:f>
              <c:numCache>
                <c:formatCode>0.00%</c:formatCode>
                <c:ptCount val="11"/>
                <c:pt idx="0">
                  <c:v>0.56871224264174136</c:v>
                </c:pt>
                <c:pt idx="1">
                  <c:v>0.55789118543246519</c:v>
                </c:pt>
                <c:pt idx="2">
                  <c:v>0.53840412551567185</c:v>
                </c:pt>
                <c:pt idx="3">
                  <c:v>0.52568483274084232</c:v>
                </c:pt>
                <c:pt idx="4">
                  <c:v>0.60599684729354697</c:v>
                </c:pt>
                <c:pt idx="5">
                  <c:v>0.52267181973224008</c:v>
                </c:pt>
                <c:pt idx="6">
                  <c:v>0.52691700008264508</c:v>
                </c:pt>
                <c:pt idx="7">
                  <c:v>0.5264495980465177</c:v>
                </c:pt>
                <c:pt idx="8">
                  <c:v>0.62803308671307634</c:v>
                </c:pt>
                <c:pt idx="9">
                  <c:v>0.65109492434154725</c:v>
                </c:pt>
                <c:pt idx="10">
                  <c:v>0.4862349808842798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'Tab-15 PriorData'!$B$86</c:f>
              <c:strCache>
                <c:ptCount val="1"/>
                <c:pt idx="0">
                  <c:v>Firm-wide standard hours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PriorData'!$C$86:$N$86</c:f>
              <c:numCache>
                <c:formatCode>0.00%</c:formatCode>
                <c:ptCount val="11"/>
                <c:pt idx="0">
                  <c:v>0.53031926290979214</c:v>
                </c:pt>
                <c:pt idx="1">
                  <c:v>0.5244989233062779</c:v>
                </c:pt>
                <c:pt idx="2">
                  <c:v>0.50467716639343019</c:v>
                </c:pt>
                <c:pt idx="3">
                  <c:v>0.50233746805460322</c:v>
                </c:pt>
                <c:pt idx="4">
                  <c:v>0.57111208927284429</c:v>
                </c:pt>
                <c:pt idx="5">
                  <c:v>0.49982647354710036</c:v>
                </c:pt>
                <c:pt idx="6">
                  <c:v>0.50658484706998397</c:v>
                </c:pt>
                <c:pt idx="7">
                  <c:v>0.48292531335243949</c:v>
                </c:pt>
                <c:pt idx="8">
                  <c:v>0.58790664143462201</c:v>
                </c:pt>
                <c:pt idx="9">
                  <c:v>0.57248789346246975</c:v>
                </c:pt>
                <c:pt idx="10">
                  <c:v>0.57783695206882424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'Tab-15 PriorData'!$B$88</c:f>
              <c:strCache>
                <c:ptCount val="1"/>
                <c:pt idx="0">
                  <c:v>Technical only hours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PriorData'!$C$88:$N$88</c:f>
              <c:numCache>
                <c:formatCode>0.00%</c:formatCode>
                <c:ptCount val="11"/>
                <c:pt idx="0">
                  <c:v>0.7317585546893236</c:v>
                </c:pt>
                <c:pt idx="1">
                  <c:v>0.7121693756372578</c:v>
                </c:pt>
                <c:pt idx="2">
                  <c:v>0.66446585851565731</c:v>
                </c:pt>
                <c:pt idx="3">
                  <c:v>0.66410295147711196</c:v>
                </c:pt>
                <c:pt idx="4">
                  <c:v>0.72844944596628913</c:v>
                </c:pt>
                <c:pt idx="5">
                  <c:v>0.64225072254335258</c:v>
                </c:pt>
                <c:pt idx="6">
                  <c:v>0.65512085721405433</c:v>
                </c:pt>
                <c:pt idx="7">
                  <c:v>0.64775490355000809</c:v>
                </c:pt>
                <c:pt idx="8">
                  <c:v>0.67550217436322224</c:v>
                </c:pt>
                <c:pt idx="9">
                  <c:v>0.70922384701912256</c:v>
                </c:pt>
                <c:pt idx="10">
                  <c:v>0.74315068493150682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35264"/>
        <c:axId val="72245248"/>
      </c:lineChart>
      <c:catAx>
        <c:axId val="7223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4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245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35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555555555555554"/>
          <c:y val="0.95581014729950897"/>
          <c:w val="0.52888888888888885"/>
          <c:h val="3.92798690671031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Cash, Accounts Receivable and Ubilled</a:t>
            </a:r>
            <a:r>
              <a:rPr lang="en-US" baseline="0"/>
              <a:t> Services </a:t>
            </a:r>
            <a:endParaRPr lang="en-US"/>
          </a:p>
        </c:rich>
      </c:tx>
      <c:layout>
        <c:manualLayout>
          <c:xMode val="edge"/>
          <c:yMode val="edge"/>
          <c:x val="0.29966695829687956"/>
          <c:y val="1.9575842708695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19866814650384E-2"/>
          <c:y val="0.12234910277324633"/>
          <c:w val="0.89678135405105441"/>
          <c:h val="0.797716150081566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'Tab-15 PriorData'!$B$48</c:f>
              <c:strCache>
                <c:ptCount val="1"/>
                <c:pt idx="0">
                  <c:v>Cash Balance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00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PriorData'!$C$48:$N$48</c:f>
              <c:numCache>
                <c:formatCode>#,##0_);\(#,##0\)</c:formatCode>
                <c:ptCount val="11"/>
                <c:pt idx="0">
                  <c:v>38999</c:v>
                </c:pt>
                <c:pt idx="1">
                  <c:v>39498</c:v>
                </c:pt>
                <c:pt idx="2">
                  <c:v>35024</c:v>
                </c:pt>
                <c:pt idx="3">
                  <c:v>90021</c:v>
                </c:pt>
                <c:pt idx="4">
                  <c:v>64110</c:v>
                </c:pt>
                <c:pt idx="5">
                  <c:v>-78162</c:v>
                </c:pt>
                <c:pt idx="6">
                  <c:v>10225</c:v>
                </c:pt>
                <c:pt idx="7">
                  <c:v>5300</c:v>
                </c:pt>
                <c:pt idx="8">
                  <c:v>21619.56</c:v>
                </c:pt>
                <c:pt idx="9">
                  <c:v>-24206.68</c:v>
                </c:pt>
                <c:pt idx="10">
                  <c:v>64110</c:v>
                </c:pt>
              </c:numCache>
            </c:numRef>
          </c:val>
        </c:ser>
        <c:ser>
          <c:idx val="1"/>
          <c:order val="1"/>
          <c:tx>
            <c:strRef>
              <c:f>'Tab-15 PriorData'!$B$49</c:f>
              <c:strCache>
                <c:ptCount val="1"/>
                <c:pt idx="0">
                  <c:v>Accounts Receivable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PriorData'!$C$49:$N$49</c:f>
              <c:numCache>
                <c:formatCode>#,##0_);\(#,##0\)</c:formatCode>
                <c:ptCount val="11"/>
                <c:pt idx="0">
                  <c:v>1879894</c:v>
                </c:pt>
                <c:pt idx="1">
                  <c:v>2146748</c:v>
                </c:pt>
                <c:pt idx="2">
                  <c:v>1778267.35</c:v>
                </c:pt>
                <c:pt idx="3">
                  <c:v>2353349</c:v>
                </c:pt>
                <c:pt idx="4">
                  <c:v>2210125</c:v>
                </c:pt>
                <c:pt idx="5">
                  <c:v>1550224</c:v>
                </c:pt>
                <c:pt idx="6">
                  <c:v>740105</c:v>
                </c:pt>
                <c:pt idx="7">
                  <c:v>664798</c:v>
                </c:pt>
                <c:pt idx="8" formatCode="#,##0.00_);\(#,##0.00\)">
                  <c:v>210210.7</c:v>
                </c:pt>
                <c:pt idx="9">
                  <c:v>176656.51</c:v>
                </c:pt>
                <c:pt idx="10">
                  <c:v>210210.7</c:v>
                </c:pt>
              </c:numCache>
            </c:numRef>
          </c:val>
        </c:ser>
        <c:ser>
          <c:idx val="2"/>
          <c:order val="2"/>
          <c:tx>
            <c:strRef>
              <c:f>'Tab-15 PriorData'!$A$57</c:f>
              <c:strCache>
                <c:ptCount val="1"/>
                <c:pt idx="0">
                  <c:v>Work-in-progress/Unbilled Services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PriorData'!$C$57:$N$57</c:f>
              <c:numCache>
                <c:formatCode>#,##0_);\(#,##0\)</c:formatCode>
                <c:ptCount val="11"/>
                <c:pt idx="0">
                  <c:v>165408</c:v>
                </c:pt>
                <c:pt idx="1">
                  <c:v>204872</c:v>
                </c:pt>
                <c:pt idx="2">
                  <c:v>423164</c:v>
                </c:pt>
                <c:pt idx="3">
                  <c:v>115854</c:v>
                </c:pt>
                <c:pt idx="4">
                  <c:v>129480</c:v>
                </c:pt>
                <c:pt idx="5">
                  <c:v>251099</c:v>
                </c:pt>
                <c:pt idx="6">
                  <c:v>150786.64000000001</c:v>
                </c:pt>
                <c:pt idx="7">
                  <c:v>67790</c:v>
                </c:pt>
                <c:pt idx="8">
                  <c:v>11862.86</c:v>
                </c:pt>
                <c:pt idx="9">
                  <c:v>14542.23</c:v>
                </c:pt>
                <c:pt idx="10">
                  <c:v>11863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830976"/>
        <c:axId val="72832512"/>
      </c:barChart>
      <c:catAx>
        <c:axId val="728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3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83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30976"/>
        <c:crosses val="autoZero"/>
        <c:crossBetween val="between"/>
      </c:valAx>
      <c:spPr>
        <a:ln w="12700">
          <a:solidFill>
            <a:srgbClr val="808080"/>
          </a:solidFill>
          <a:prstDash val="solid"/>
        </a:ln>
      </c:spPr>
    </c:plotArea>
    <c:legend>
      <c:legendPos val="tr"/>
      <c:layout>
        <c:manualLayout>
          <c:xMode val="edge"/>
          <c:yMode val="edge"/>
          <c:x val="0.75124019129912867"/>
          <c:y val="0.14122934789846053"/>
          <c:w val="0.2176618256051327"/>
          <c:h val="0.18095836391306908"/>
        </c:manualLayout>
      </c:layout>
      <c:overlay val="0"/>
      <c:spPr>
        <a:solidFill>
          <a:srgbClr val="FFFFFF">
            <a:alpha val="99000"/>
          </a:srgb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Average Salary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'Tab-27 PriorKey'!$C$8:$L$8</c:f>
              <c:strCache>
                <c:ptCount val="10"/>
                <c:pt idx="0">
                  <c:v>2003 </c:v>
                </c:pt>
                <c:pt idx="1">
                  <c:v>2004 </c:v>
                </c:pt>
                <c:pt idx="2">
                  <c:v>2005 </c:v>
                </c:pt>
                <c:pt idx="3">
                  <c:v>2006 </c:v>
                </c:pt>
                <c:pt idx="4">
                  <c:v>2007 </c:v>
                </c:pt>
                <c:pt idx="5">
                  <c:v>2008 </c:v>
                </c:pt>
                <c:pt idx="6">
                  <c:v>2009 </c:v>
                </c:pt>
                <c:pt idx="7">
                  <c:v>2010 </c:v>
                </c:pt>
                <c:pt idx="8">
                  <c:v>2011 </c:v>
                </c:pt>
                <c:pt idx="9">
                  <c:v>Plan2012</c:v>
                </c:pt>
              </c:strCache>
            </c:strRef>
          </c:cat>
          <c:val>
            <c:numRef>
              <c:f>'Tab-27 PriorKey'!$C$473:$L$473</c:f>
              <c:numCache>
                <c:formatCode>_(* #,##0_);_(* \(#,##0\);_(* "-"??_);_(@_)</c:formatCode>
                <c:ptCount val="10"/>
                <c:pt idx="0">
                  <c:v>51394.093218151393</c:v>
                </c:pt>
                <c:pt idx="1">
                  <c:v>54016.047860165992</c:v>
                </c:pt>
                <c:pt idx="2">
                  <c:v>53453.028462245093</c:v>
                </c:pt>
                <c:pt idx="3">
                  <c:v>57663.724586391996</c:v>
                </c:pt>
                <c:pt idx="4">
                  <c:v>59205.276720027374</c:v>
                </c:pt>
                <c:pt idx="5">
                  <c:v>61231.590396637032</c:v>
                </c:pt>
                <c:pt idx="6">
                  <c:v>60694.513599931917</c:v>
                </c:pt>
                <c:pt idx="7">
                  <c:v>61123.659542142872</c:v>
                </c:pt>
                <c:pt idx="8">
                  <c:v>59815.119459239977</c:v>
                </c:pt>
                <c:pt idx="9">
                  <c:v>66918.945366881468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60672"/>
        <c:axId val="88466560"/>
      </c:lineChart>
      <c:catAx>
        <c:axId val="88460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466560"/>
        <c:crosses val="autoZero"/>
        <c:auto val="0"/>
        <c:lblAlgn val="ctr"/>
        <c:lblOffset val="100"/>
        <c:tickLblSkip val="42"/>
        <c:tickMarkSkip val="1"/>
        <c:noMultiLvlLbl val="0"/>
      </c:catAx>
      <c:valAx>
        <c:axId val="88466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4606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Labor, Direct and Indirect Labor</a:t>
            </a:r>
          </a:p>
        </c:rich>
      </c:tx>
      <c:layout>
        <c:manualLayout>
          <c:xMode val="edge"/>
          <c:yMode val="edge"/>
          <c:x val="0.3396226305045203"/>
          <c:y val="1.95757783440045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29744728079905E-2"/>
          <c:y val="0.12398042414355628"/>
          <c:w val="0.85238623751387343"/>
          <c:h val="0.76835236541598695"/>
        </c:manualLayout>
      </c:layout>
      <c:lineChart>
        <c:grouping val="standard"/>
        <c:varyColors val="0"/>
        <c:ser>
          <c:idx val="0"/>
          <c:order val="0"/>
          <c:tx>
            <c:strRef>
              <c:f>'Tab-14 CurrentData'!$B$145</c:f>
              <c:strCache>
                <c:ptCount val="1"/>
                <c:pt idx="0">
                  <c:v>Indirect Labor-Actual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'Tab-14 CurrentData'!$C$6:$N$6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'Tab-14 CurrentData'!$C$145:$L$145</c:f>
              <c:numCache>
                <c:formatCode>#,##0_);\(#,##0\)</c:formatCode>
                <c:ptCount val="10"/>
                <c:pt idx="0">
                  <c:v>28793.17</c:v>
                </c:pt>
                <c:pt idx="1">
                  <c:v>71024</c:v>
                </c:pt>
                <c:pt idx="2">
                  <c:v>93929.01</c:v>
                </c:pt>
                <c:pt idx="3">
                  <c:v>131172.69</c:v>
                </c:pt>
                <c:pt idx="4">
                  <c:v>155149.14000000001</c:v>
                </c:pt>
                <c:pt idx="5">
                  <c:v>192715.66</c:v>
                </c:pt>
                <c:pt idx="6">
                  <c:v>192715.66</c:v>
                </c:pt>
                <c:pt idx="7">
                  <c:v>192715.66</c:v>
                </c:pt>
                <c:pt idx="8">
                  <c:v>192715.66</c:v>
                </c:pt>
                <c:pt idx="9">
                  <c:v>192715.66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'Tab-14 CurrentData'!$B$146</c:f>
              <c:strCache>
                <c:ptCount val="1"/>
                <c:pt idx="0">
                  <c:v>Indirect Labor-Budget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'Tab-14 CurrentData'!$C$6:$N$6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'Tab-14 CurrentData'!$C$146:$N$146</c:f>
              <c:numCache>
                <c:formatCode>#,##0_);\(#,##0\)</c:formatCode>
                <c:ptCount val="12"/>
                <c:pt idx="0">
                  <c:v>53386.181254807685</c:v>
                </c:pt>
                <c:pt idx="1">
                  <c:v>106772.36250961537</c:v>
                </c:pt>
                <c:pt idx="2">
                  <c:v>160158.54376442306</c:v>
                </c:pt>
                <c:pt idx="3">
                  <c:v>213544.72501923074</c:v>
                </c:pt>
                <c:pt idx="4">
                  <c:v>266930.90627403843</c:v>
                </c:pt>
                <c:pt idx="5">
                  <c:v>320317.08752884611</c:v>
                </c:pt>
                <c:pt idx="6">
                  <c:v>373703.2687836538</c:v>
                </c:pt>
                <c:pt idx="7">
                  <c:v>427089.45003846148</c:v>
                </c:pt>
                <c:pt idx="8">
                  <c:v>480475.63129326917</c:v>
                </c:pt>
                <c:pt idx="9">
                  <c:v>533861.81254807685</c:v>
                </c:pt>
                <c:pt idx="10">
                  <c:v>587247.99380288459</c:v>
                </c:pt>
                <c:pt idx="11">
                  <c:v>640634.17505769222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'Tab-14 CurrentData'!$B$148</c:f>
              <c:strCache>
                <c:ptCount val="1"/>
                <c:pt idx="0">
                  <c:v>Total Labor-Actual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'Tab-14 CurrentData'!$C$6:$N$6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'Tab-14 CurrentData'!$C$148:$L$148</c:f>
              <c:numCache>
                <c:formatCode>#,##0_);\(#,##0\)</c:formatCode>
                <c:ptCount val="10"/>
                <c:pt idx="0">
                  <c:v>92508.18</c:v>
                </c:pt>
                <c:pt idx="1">
                  <c:v>185016.36</c:v>
                </c:pt>
                <c:pt idx="2">
                  <c:v>273988.53999999998</c:v>
                </c:pt>
                <c:pt idx="3">
                  <c:v>370066.42</c:v>
                </c:pt>
                <c:pt idx="4">
                  <c:v>461205.26</c:v>
                </c:pt>
                <c:pt idx="5">
                  <c:v>552344.1</c:v>
                </c:pt>
                <c:pt idx="6">
                  <c:v>552344.1</c:v>
                </c:pt>
                <c:pt idx="7">
                  <c:v>552344.1</c:v>
                </c:pt>
                <c:pt idx="8">
                  <c:v>552344.1</c:v>
                </c:pt>
                <c:pt idx="9">
                  <c:v>552344.1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'Tab-14 CurrentData'!$B$149</c:f>
              <c:strCache>
                <c:ptCount val="1"/>
                <c:pt idx="0">
                  <c:v>Total Labor-Budget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'Tab-14 CurrentData'!$C$6:$N$6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'Tab-14 CurrentData'!$C$149:$N$149</c:f>
              <c:numCache>
                <c:formatCode>#,##0_);\(#,##0\)</c:formatCode>
                <c:ptCount val="12"/>
                <c:pt idx="0">
                  <c:v>103911.67025480769</c:v>
                </c:pt>
                <c:pt idx="1">
                  <c:v>207823.34050961537</c:v>
                </c:pt>
                <c:pt idx="2">
                  <c:v>311735.01076442306</c:v>
                </c:pt>
                <c:pt idx="3">
                  <c:v>415646.68101923075</c:v>
                </c:pt>
                <c:pt idx="4">
                  <c:v>519558.35127403843</c:v>
                </c:pt>
                <c:pt idx="5">
                  <c:v>623470.02152884612</c:v>
                </c:pt>
                <c:pt idx="6">
                  <c:v>727381.69178365381</c:v>
                </c:pt>
                <c:pt idx="7">
                  <c:v>831293.36203846149</c:v>
                </c:pt>
                <c:pt idx="8">
                  <c:v>935205.03229326918</c:v>
                </c:pt>
                <c:pt idx="9">
                  <c:v>1039116.7025480769</c:v>
                </c:pt>
                <c:pt idx="10">
                  <c:v>1143028.3728028846</c:v>
                </c:pt>
                <c:pt idx="11">
                  <c:v>1246940.0430576922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'Tab-14 CurrentData'!$B$150</c:f>
              <c:strCache>
                <c:ptCount val="1"/>
                <c:pt idx="0">
                  <c:v>Direct Labor-Actual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'Tab-14 CurrentData'!$C$6:$N$6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'Tab-14 CurrentData'!$C$150:$L$150</c:f>
              <c:numCache>
                <c:formatCode>#,##0_);\(#,##0\)</c:formatCode>
                <c:ptCount val="10"/>
                <c:pt idx="0">
                  <c:v>63715.01</c:v>
                </c:pt>
                <c:pt idx="1">
                  <c:v>113992.36</c:v>
                </c:pt>
                <c:pt idx="2">
                  <c:v>180059.53</c:v>
                </c:pt>
                <c:pt idx="3">
                  <c:v>238893.72999999998</c:v>
                </c:pt>
                <c:pt idx="4">
                  <c:v>306056.12</c:v>
                </c:pt>
                <c:pt idx="5">
                  <c:v>359628.44</c:v>
                </c:pt>
                <c:pt idx="6">
                  <c:v>359628.44</c:v>
                </c:pt>
                <c:pt idx="7">
                  <c:v>359628.44</c:v>
                </c:pt>
                <c:pt idx="8">
                  <c:v>359628.44</c:v>
                </c:pt>
                <c:pt idx="9">
                  <c:v>359628.44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'Tab-14 CurrentData'!$B$151</c:f>
              <c:strCache>
                <c:ptCount val="1"/>
                <c:pt idx="0">
                  <c:v>Direct Labor-Budget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'Tab-14 CurrentData'!$C$6:$N$6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'Tab-14 CurrentData'!$C$151:$N$151</c:f>
              <c:numCache>
                <c:formatCode>#,##0_);\(#,##0\)</c:formatCode>
                <c:ptCount val="12"/>
                <c:pt idx="0">
                  <c:v>50525.489000000001</c:v>
                </c:pt>
                <c:pt idx="1">
                  <c:v>101050.978</c:v>
                </c:pt>
                <c:pt idx="2">
                  <c:v>151576.467</c:v>
                </c:pt>
                <c:pt idx="3">
                  <c:v>202101.95600000001</c:v>
                </c:pt>
                <c:pt idx="4">
                  <c:v>252627.44500000001</c:v>
                </c:pt>
                <c:pt idx="5">
                  <c:v>303152.93400000001</c:v>
                </c:pt>
                <c:pt idx="6">
                  <c:v>353678.42300000001</c:v>
                </c:pt>
                <c:pt idx="7">
                  <c:v>404203.91200000001</c:v>
                </c:pt>
                <c:pt idx="8">
                  <c:v>454729.40100000001</c:v>
                </c:pt>
                <c:pt idx="9">
                  <c:v>505254.89</c:v>
                </c:pt>
                <c:pt idx="10">
                  <c:v>555780.37899999996</c:v>
                </c:pt>
                <c:pt idx="11">
                  <c:v>606305.86800000002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93472"/>
        <c:axId val="43195008"/>
      </c:lineChart>
      <c:catAx>
        <c:axId val="43193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9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95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934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22222222222222E-2"/>
          <c:y val="0.95908341271051967"/>
          <c:w val="0.88"/>
          <c:h val="3.43698784126256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Overhead &amp; Indirect Labor</a:t>
            </a:r>
          </a:p>
        </c:rich>
      </c:tx>
      <c:layout>
        <c:manualLayout>
          <c:xMode val="edge"/>
          <c:yMode val="edge"/>
          <c:x val="0.3851276757072033"/>
          <c:y val="1.9575763813836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15695538057742"/>
          <c:y val="0.13544957535329918"/>
          <c:w val="0.76937392825896767"/>
          <c:h val="0.72086958016710789"/>
        </c:manualLayout>
      </c:layout>
      <c:lineChart>
        <c:grouping val="standard"/>
        <c:varyColors val="0"/>
        <c:ser>
          <c:idx val="0"/>
          <c:order val="0"/>
          <c:tx>
            <c:strRef>
              <c:f>'Tab-14 CurrentData'!$B$143</c:f>
              <c:strCache>
                <c:ptCount val="1"/>
                <c:pt idx="0">
                  <c:v>Overhead-Actual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'Tab-14 CurrentData'!$C$6:$N$6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'Tab-14 CurrentData'!$C$143:$L$143</c:f>
              <c:numCache>
                <c:formatCode>#,##0_);\(#,##0\)</c:formatCode>
                <c:ptCount val="10"/>
                <c:pt idx="0">
                  <c:v>83699.38</c:v>
                </c:pt>
                <c:pt idx="1">
                  <c:v>190598.1</c:v>
                </c:pt>
                <c:pt idx="2">
                  <c:v>271956.99</c:v>
                </c:pt>
                <c:pt idx="3">
                  <c:v>364850.70999999996</c:v>
                </c:pt>
                <c:pt idx="4">
                  <c:v>435471.98</c:v>
                </c:pt>
                <c:pt idx="5">
                  <c:v>525480.05999999994</c:v>
                </c:pt>
                <c:pt idx="6">
                  <c:v>525480.05999999994</c:v>
                </c:pt>
                <c:pt idx="7">
                  <c:v>525480.05999999994</c:v>
                </c:pt>
                <c:pt idx="8">
                  <c:v>525480.05999999994</c:v>
                </c:pt>
                <c:pt idx="9">
                  <c:v>525480.05999999994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'Tab-14 CurrentData'!$B$144</c:f>
              <c:strCache>
                <c:ptCount val="1"/>
                <c:pt idx="0">
                  <c:v>Overhead-Budget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'Tab-14 CurrentData'!$C$6:$N$6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'Tab-14 CurrentData'!$C$144:$N$144</c:f>
              <c:numCache>
                <c:formatCode>#,##0_);\(#,##0\)</c:formatCode>
                <c:ptCount val="12"/>
                <c:pt idx="0">
                  <c:v>111136.35675204311</c:v>
                </c:pt>
                <c:pt idx="1">
                  <c:v>222272.71350408622</c:v>
                </c:pt>
                <c:pt idx="2">
                  <c:v>333409.07025612931</c:v>
                </c:pt>
                <c:pt idx="3">
                  <c:v>444545.42700817244</c:v>
                </c:pt>
                <c:pt idx="4">
                  <c:v>555681.78376021551</c:v>
                </c:pt>
                <c:pt idx="5">
                  <c:v>666818.14051225863</c:v>
                </c:pt>
                <c:pt idx="6">
                  <c:v>777954.49726430175</c:v>
                </c:pt>
                <c:pt idx="7">
                  <c:v>889090.85401634488</c:v>
                </c:pt>
                <c:pt idx="8">
                  <c:v>1000227.210768388</c:v>
                </c:pt>
                <c:pt idx="9">
                  <c:v>1111363.567520431</c:v>
                </c:pt>
                <c:pt idx="10">
                  <c:v>1222499.9242724741</c:v>
                </c:pt>
                <c:pt idx="11">
                  <c:v>1333636.2810245173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'Tab-14 CurrentData'!$B$145</c:f>
              <c:strCache>
                <c:ptCount val="1"/>
                <c:pt idx="0">
                  <c:v>Indirect Labor-Actual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'Tab-14 CurrentData'!$C$6:$N$6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'Tab-14 CurrentData'!$C$145:$L$145</c:f>
              <c:numCache>
                <c:formatCode>#,##0_);\(#,##0\)</c:formatCode>
                <c:ptCount val="10"/>
                <c:pt idx="0">
                  <c:v>28793.17</c:v>
                </c:pt>
                <c:pt idx="1">
                  <c:v>71024</c:v>
                </c:pt>
                <c:pt idx="2">
                  <c:v>93929.01</c:v>
                </c:pt>
                <c:pt idx="3">
                  <c:v>131172.69</c:v>
                </c:pt>
                <c:pt idx="4">
                  <c:v>155149.14000000001</c:v>
                </c:pt>
                <c:pt idx="5">
                  <c:v>192715.66</c:v>
                </c:pt>
                <c:pt idx="6">
                  <c:v>192715.66</c:v>
                </c:pt>
                <c:pt idx="7">
                  <c:v>192715.66</c:v>
                </c:pt>
                <c:pt idx="8">
                  <c:v>192715.66</c:v>
                </c:pt>
                <c:pt idx="9">
                  <c:v>192715.66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'Tab-14 CurrentData'!$B$146</c:f>
              <c:strCache>
                <c:ptCount val="1"/>
                <c:pt idx="0">
                  <c:v>Indirect Labor-Budget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'Tab-14 CurrentData'!$C$6:$N$6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'Tab-14 CurrentData'!$C$146:$N$146</c:f>
              <c:numCache>
                <c:formatCode>#,##0_);\(#,##0\)</c:formatCode>
                <c:ptCount val="12"/>
                <c:pt idx="0">
                  <c:v>53386.181254807685</c:v>
                </c:pt>
                <c:pt idx="1">
                  <c:v>106772.36250961537</c:v>
                </c:pt>
                <c:pt idx="2">
                  <c:v>160158.54376442306</c:v>
                </c:pt>
                <c:pt idx="3">
                  <c:v>213544.72501923074</c:v>
                </c:pt>
                <c:pt idx="4">
                  <c:v>266930.90627403843</c:v>
                </c:pt>
                <c:pt idx="5">
                  <c:v>320317.08752884611</c:v>
                </c:pt>
                <c:pt idx="6">
                  <c:v>373703.2687836538</c:v>
                </c:pt>
                <c:pt idx="7">
                  <c:v>427089.45003846148</c:v>
                </c:pt>
                <c:pt idx="8">
                  <c:v>480475.63129326917</c:v>
                </c:pt>
                <c:pt idx="9">
                  <c:v>533861.81254807685</c:v>
                </c:pt>
                <c:pt idx="10">
                  <c:v>587247.99380288459</c:v>
                </c:pt>
                <c:pt idx="11">
                  <c:v>640634.17505769222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46272"/>
        <c:axId val="43447808"/>
      </c:lineChart>
      <c:catAx>
        <c:axId val="43446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4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47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46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66666666666667"/>
          <c:y val="0.95581013157669015"/>
          <c:w val="0.65"/>
          <c:h val="3.92798449213456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Cash Flow Plan</a:t>
            </a:r>
          </a:p>
        </c:rich>
      </c:tx>
      <c:layout>
        <c:manualLayout>
          <c:xMode val="edge"/>
          <c:yMode val="edge"/>
          <c:x val="0.43063260425780114"/>
          <c:y val="1.9575842708695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59378468368484E-2"/>
          <c:y val="0.12234910277324633"/>
          <c:w val="0.8512763596004439"/>
          <c:h val="0.76508972267536701"/>
        </c:manualLayout>
      </c:layout>
      <c:lineChart>
        <c:grouping val="standard"/>
        <c:varyColors val="0"/>
        <c:ser>
          <c:idx val="0"/>
          <c:order val="0"/>
          <c:tx>
            <c:strRef>
              <c:f>'Tab-14 CurrentData'!$B$47</c:f>
              <c:strCache>
                <c:ptCount val="1"/>
                <c:pt idx="0">
                  <c:v>Cash Plan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'Tab-14 CurrentData'!$C$47:$N$47</c:f>
              <c:numCache>
                <c:formatCode>_(* #,##0_);_(* \(#,##0\);_(* "-"??_);_(@_)</c:formatCode>
                <c:ptCount val="12"/>
                <c:pt idx="0">
                  <c:v>52651.245817830466</c:v>
                </c:pt>
                <c:pt idx="1">
                  <c:v>83682.931635660934</c:v>
                </c:pt>
                <c:pt idx="2">
                  <c:v>114714.6174534914</c:v>
                </c:pt>
                <c:pt idx="3">
                  <c:v>145746.30327132187</c:v>
                </c:pt>
                <c:pt idx="4">
                  <c:v>176777.98908915234</c:v>
                </c:pt>
                <c:pt idx="5">
                  <c:v>207809.67490698281</c:v>
                </c:pt>
                <c:pt idx="6">
                  <c:v>238841.36072481328</c:v>
                </c:pt>
                <c:pt idx="7">
                  <c:v>269873.04654264374</c:v>
                </c:pt>
                <c:pt idx="8">
                  <c:v>300904.73236047418</c:v>
                </c:pt>
                <c:pt idx="9">
                  <c:v>331936.41817830468</c:v>
                </c:pt>
                <c:pt idx="10">
                  <c:v>362968.10399613518</c:v>
                </c:pt>
                <c:pt idx="11">
                  <c:v>315415.0061538461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'Tab-14 CurrentData'!$B$48</c:f>
              <c:strCache>
                <c:ptCount val="1"/>
                <c:pt idx="0">
                  <c:v>Cash Balance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'Tab-14 CurrentData'!$C$48:$I$48</c:f>
              <c:numCache>
                <c:formatCode>#,##0_);\(#,##0\)</c:formatCode>
                <c:ptCount val="7"/>
                <c:pt idx="0">
                  <c:v>-90230.47</c:v>
                </c:pt>
                <c:pt idx="1">
                  <c:v>-109852.12</c:v>
                </c:pt>
                <c:pt idx="2">
                  <c:v>-79200.39</c:v>
                </c:pt>
                <c:pt idx="3">
                  <c:v>-17451.89</c:v>
                </c:pt>
                <c:pt idx="4">
                  <c:v>-86387.199999999997</c:v>
                </c:pt>
                <c:pt idx="5">
                  <c:v>-24206.68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'Tab-14 CurrentData'!$B$49</c:f>
              <c:strCache>
                <c:ptCount val="1"/>
                <c:pt idx="0">
                  <c:v>Accounts Receivable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'Tab-14 CurrentData'!$C$49:$H$49</c:f>
              <c:numCache>
                <c:formatCode>#,##0.00_);\(#,##0.00\)</c:formatCode>
                <c:ptCount val="6"/>
                <c:pt idx="0">
                  <c:v>323227.08999999997</c:v>
                </c:pt>
                <c:pt idx="1">
                  <c:v>293350.47000000003</c:v>
                </c:pt>
                <c:pt idx="2">
                  <c:v>370809.57999999996</c:v>
                </c:pt>
                <c:pt idx="3">
                  <c:v>278716.76</c:v>
                </c:pt>
                <c:pt idx="4">
                  <c:v>264457.33</c:v>
                </c:pt>
                <c:pt idx="5" formatCode="#,##0_);\(#,##0\)">
                  <c:v>176131.51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9152"/>
        <c:axId val="43490688"/>
      </c:lineChart>
      <c:catAx>
        <c:axId val="43489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9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90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891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3444444444444443"/>
          <c:y val="0.95581014729950897"/>
          <c:w val="0.41666666666666663"/>
          <c:h val="3.92798690671031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Absolute Values
</a:t>
            </a:r>
          </a:p>
        </c:rich>
      </c:tx>
      <c:layout>
        <c:manualLayout>
          <c:xMode val="edge"/>
          <c:yMode val="edge"/>
          <c:x val="0.42730300379119279"/>
          <c:y val="1.9575842708695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99889012208657"/>
          <c:y val="0.15823817292006526"/>
          <c:w val="0.85571587125416204"/>
          <c:h val="0.67373572593800979"/>
        </c:manualLayout>
      </c:layout>
      <c:lineChart>
        <c:grouping val="standard"/>
        <c:varyColors val="0"/>
        <c:ser>
          <c:idx val="0"/>
          <c:order val="0"/>
          <c:tx>
            <c:strRef>
              <c:f>'Tab-15 PriorData'!$B$31</c:f>
              <c:strCache>
                <c:ptCount val="1"/>
                <c:pt idx="0">
                  <c:v>Total revenue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PriorData'!$C$31:$N$31</c:f>
              <c:numCache>
                <c:formatCode>#,##0_);\(#,##0\)</c:formatCode>
                <c:ptCount val="11"/>
                <c:pt idx="0">
                  <c:v>7537008.6299999999</c:v>
                </c:pt>
                <c:pt idx="1">
                  <c:v>7401625</c:v>
                </c:pt>
                <c:pt idx="2">
                  <c:v>7693399.9699999997</c:v>
                </c:pt>
                <c:pt idx="3">
                  <c:v>8213326</c:v>
                </c:pt>
                <c:pt idx="4">
                  <c:v>9588780</c:v>
                </c:pt>
                <c:pt idx="5">
                  <c:v>8897533</c:v>
                </c:pt>
                <c:pt idx="6">
                  <c:v>4706370</c:v>
                </c:pt>
                <c:pt idx="7">
                  <c:v>3463782</c:v>
                </c:pt>
                <c:pt idx="8">
                  <c:v>2418599.0499999998</c:v>
                </c:pt>
                <c:pt idx="9">
                  <c:v>1343389.9500000002</c:v>
                </c:pt>
                <c:pt idx="10">
                  <c:v>4340772.1994463373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'Tab-15 PriorData'!$B$35</c:f>
              <c:strCache>
                <c:ptCount val="1"/>
                <c:pt idx="0">
                  <c:v>Direct labor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PriorData'!$C$35:$N$35</c:f>
              <c:numCache>
                <c:formatCode>#,##0_);\(#,##0\)</c:formatCode>
                <c:ptCount val="11"/>
                <c:pt idx="0">
                  <c:v>1229904.6200000001</c:v>
                </c:pt>
                <c:pt idx="1">
                  <c:v>1317903</c:v>
                </c:pt>
                <c:pt idx="2">
                  <c:v>1350395.68</c:v>
                </c:pt>
                <c:pt idx="3">
                  <c:v>1439999</c:v>
                </c:pt>
                <c:pt idx="4">
                  <c:v>1807588</c:v>
                </c:pt>
                <c:pt idx="5">
                  <c:v>1743502</c:v>
                </c:pt>
                <c:pt idx="6">
                  <c:v>1083863</c:v>
                </c:pt>
                <c:pt idx="7">
                  <c:v>896079</c:v>
                </c:pt>
                <c:pt idx="8">
                  <c:v>756139.64</c:v>
                </c:pt>
                <c:pt idx="9">
                  <c:v>359628.44</c:v>
                </c:pt>
                <c:pt idx="10">
                  <c:v>606305.86800000002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'Tab-15 PriorData'!$B$36</c:f>
              <c:strCache>
                <c:ptCount val="1"/>
                <c:pt idx="0">
                  <c:v>Net revenue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PriorData'!$C$36:$N$36</c:f>
              <c:numCache>
                <c:formatCode>#,##0_);\(#,##0\)</c:formatCode>
                <c:ptCount val="11"/>
                <c:pt idx="0">
                  <c:v>4869754.6399999997</c:v>
                </c:pt>
                <c:pt idx="1">
                  <c:v>4314949</c:v>
                </c:pt>
                <c:pt idx="2">
                  <c:v>4881221.8299999991</c:v>
                </c:pt>
                <c:pt idx="3">
                  <c:v>5295293</c:v>
                </c:pt>
                <c:pt idx="4">
                  <c:v>6212912</c:v>
                </c:pt>
                <c:pt idx="5">
                  <c:v>5791705</c:v>
                </c:pt>
                <c:pt idx="6">
                  <c:v>2850735</c:v>
                </c:pt>
                <c:pt idx="7">
                  <c:v>2499562</c:v>
                </c:pt>
                <c:pt idx="8">
                  <c:v>1324438.21</c:v>
                </c:pt>
                <c:pt idx="9">
                  <c:v>909417.35000000009</c:v>
                </c:pt>
                <c:pt idx="10">
                  <c:v>2312487.3788384832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'Tab-15 PriorData'!$B$42</c:f>
              <c:strCache>
                <c:ptCount val="1"/>
                <c:pt idx="0">
                  <c:v>Break-even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PriorData'!$C$42:$N$42</c:f>
              <c:numCache>
                <c:formatCode>#,##0_);\(#,##0\)</c:formatCode>
                <c:ptCount val="11"/>
                <c:pt idx="0">
                  <c:v>3353454.81</c:v>
                </c:pt>
                <c:pt idx="1">
                  <c:v>3750954</c:v>
                </c:pt>
                <c:pt idx="2">
                  <c:v>3849274.4000000004</c:v>
                </c:pt>
                <c:pt idx="3">
                  <c:v>4041534</c:v>
                </c:pt>
                <c:pt idx="4">
                  <c:v>4734705</c:v>
                </c:pt>
                <c:pt idx="5">
                  <c:v>5105599</c:v>
                </c:pt>
                <c:pt idx="6">
                  <c:v>3298923</c:v>
                </c:pt>
                <c:pt idx="7">
                  <c:v>2770168</c:v>
                </c:pt>
                <c:pt idx="8">
                  <c:v>1998635.21</c:v>
                </c:pt>
                <c:pt idx="9">
                  <c:v>885108.5</c:v>
                </c:pt>
                <c:pt idx="10">
                  <c:v>1939942.1490245173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41952"/>
        <c:axId val="43743488"/>
      </c:lineChart>
      <c:catAx>
        <c:axId val="43741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4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74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41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666666666666666"/>
          <c:y val="0.95744680851063835"/>
          <c:w val="0.46333333333333332"/>
          <c:h val="3.60065466448444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Full Time Equivalents</a:t>
            </a:r>
          </a:p>
        </c:rich>
      </c:tx>
      <c:layout>
        <c:manualLayout>
          <c:xMode val="edge"/>
          <c:yMode val="edge"/>
          <c:x val="0.37518675550171621"/>
          <c:y val="7.6670864023126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6234893715212E-2"/>
          <c:y val="0.11440099973977025"/>
          <c:w val="0.92526376510628483"/>
          <c:h val="0.767608164541457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'Tab-15 PriorData'!$B$69</c:f>
              <c:strCache>
                <c:ptCount val="1"/>
                <c:pt idx="0">
                  <c:v>Total technical FTE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PriorData'!$C$69:$N$69</c:f>
              <c:numCache>
                <c:formatCode>0.00_);\(0.00\)</c:formatCode>
                <c:ptCount val="11"/>
                <c:pt idx="0">
                  <c:v>30.777298850574713</c:v>
                </c:pt>
                <c:pt idx="1">
                  <c:v>32.063461538461539</c:v>
                </c:pt>
                <c:pt idx="2">
                  <c:v>35.833812260536398</c:v>
                </c:pt>
                <c:pt idx="3">
                  <c:v>34.871168582375482</c:v>
                </c:pt>
                <c:pt idx="4">
                  <c:v>38.8132183908046</c:v>
                </c:pt>
                <c:pt idx="5">
                  <c:v>42.421455938697321</c:v>
                </c:pt>
                <c:pt idx="6">
                  <c:v>24.985153256704979</c:v>
                </c:pt>
                <c:pt idx="7">
                  <c:v>20.761057692307691</c:v>
                </c:pt>
                <c:pt idx="8">
                  <c:v>16.251442307692308</c:v>
                </c:pt>
                <c:pt idx="9">
                  <c:v>15.386538461538462</c:v>
                </c:pt>
                <c:pt idx="10">
                  <c:v>14.488549618320612</c:v>
                </c:pt>
              </c:numCache>
            </c:numRef>
          </c:val>
        </c:ser>
        <c:ser>
          <c:idx val="1"/>
          <c:order val="1"/>
          <c:tx>
            <c:strRef>
              <c:f>'Tab-15 PriorData'!$B$72</c:f>
              <c:strCache>
                <c:ptCount val="1"/>
                <c:pt idx="0">
                  <c:v>Total nontechnical FTE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PriorData'!$C$72:$N$72</c:f>
              <c:numCache>
                <c:formatCode>0.00_);\(0.00\)</c:formatCode>
                <c:ptCount val="11"/>
                <c:pt idx="0">
                  <c:v>11.301724137931034</c:v>
                </c:pt>
                <c:pt idx="1">
                  <c:v>11.669711538461538</c:v>
                </c:pt>
                <c:pt idx="2">
                  <c:v>11.089080459770114</c:v>
                </c:pt>
                <c:pt idx="3">
                  <c:v>11.254789272030651</c:v>
                </c:pt>
                <c:pt idx="4">
                  <c:v>11.56800766283525</c:v>
                </c:pt>
                <c:pt idx="5">
                  <c:v>12.264846743295019</c:v>
                </c:pt>
                <c:pt idx="6">
                  <c:v>8.7758620689655178</c:v>
                </c:pt>
                <c:pt idx="7">
                  <c:v>7.0860576923076923</c:v>
                </c:pt>
                <c:pt idx="8">
                  <c:v>3.8769230769230769</c:v>
                </c:pt>
                <c:pt idx="9">
                  <c:v>3.8615384615384616</c:v>
                </c:pt>
                <c:pt idx="10">
                  <c:v>4.1450381679389317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31680"/>
        <c:axId val="43833216"/>
      </c:barChart>
      <c:catAx>
        <c:axId val="43831680"/>
        <c:scaling>
          <c:orientation val="minMax"/>
        </c:scaling>
        <c:delete val="0"/>
        <c:axPos val="b"/>
        <c:majorTickMark val="out"/>
        <c:minorTickMark val="none"/>
        <c:tickLblPos val="nextTo"/>
        <c:crossAx val="43833216"/>
        <c:crosses val="autoZero"/>
        <c:auto val="1"/>
        <c:lblAlgn val="ctr"/>
        <c:lblOffset val="100"/>
        <c:noMultiLvlLbl val="0"/>
      </c:catAx>
      <c:valAx>
        <c:axId val="43833216"/>
        <c:scaling>
          <c:orientation val="minMax"/>
        </c:scaling>
        <c:delete val="0"/>
        <c:axPos val="l"/>
        <c:minorGridlines/>
        <c:numFmt formatCode="0.00_);\(0.00\)" sourceLinked="1"/>
        <c:majorTickMark val="out"/>
        <c:minorTickMark val="none"/>
        <c:tickLblPos val="nextTo"/>
        <c:crossAx val="43831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Net Revenue and Operating Profit per FTE</a:t>
            </a:r>
          </a:p>
        </c:rich>
      </c:tx>
      <c:layout>
        <c:manualLayout>
          <c:xMode val="edge"/>
          <c:yMode val="edge"/>
          <c:x val="0.31964491105278509"/>
          <c:y val="1.9575842708695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11209766925645E-2"/>
          <c:y val="0.12234910277324633"/>
          <c:w val="0.90899001109877908"/>
          <c:h val="0.70962479608482876"/>
        </c:manualLayout>
      </c:layout>
      <c:lineChart>
        <c:grouping val="standard"/>
        <c:varyColors val="0"/>
        <c:ser>
          <c:idx val="0"/>
          <c:order val="0"/>
          <c:tx>
            <c:strRef>
              <c:f>'Tab-15 PriorData'!$B$116</c:f>
              <c:strCache>
                <c:ptCount val="1"/>
                <c:pt idx="0">
                  <c:v>Net Revenue.Total staff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PriorData'!$C$116:$N$116</c:f>
              <c:numCache>
                <c:formatCode>#,##0_);\(#,##0\)</c:formatCode>
                <c:ptCount val="11"/>
                <c:pt idx="0">
                  <c:v>115728.79535083825</c:v>
                </c:pt>
                <c:pt idx="1">
                  <c:v>98665.353927334683</c:v>
                </c:pt>
                <c:pt idx="2">
                  <c:v>104026.44736963509</c:v>
                </c:pt>
                <c:pt idx="3">
                  <c:v>114800.71626293985</c:v>
                </c:pt>
                <c:pt idx="4">
                  <c:v>123317.99931556333</c:v>
                </c:pt>
                <c:pt idx="5">
                  <c:v>105907.7815825196</c:v>
                </c:pt>
                <c:pt idx="6">
                  <c:v>84438.663129672452</c:v>
                </c:pt>
                <c:pt idx="7">
                  <c:v>89760.176789475503</c:v>
                </c:pt>
                <c:pt idx="8">
                  <c:v>65799.591009625714</c:v>
                </c:pt>
                <c:pt idx="9">
                  <c:v>47247.179738235594</c:v>
                </c:pt>
                <c:pt idx="10">
                  <c:v>124103.17354684198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'Tab-15 PriorData'!$B$117</c:f>
              <c:strCache>
                <c:ptCount val="1"/>
                <c:pt idx="0">
                  <c:v>Net.RevenueTechnical staff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PriorData'!$C$117:$N$117</c:f>
              <c:numCache>
                <c:formatCode>#,##0_);\(#,##0\)</c:formatCode>
                <c:ptCount val="11"/>
                <c:pt idx="0">
                  <c:v>158225.53706362913</c:v>
                </c:pt>
                <c:pt idx="1">
                  <c:v>134575.27019732501</c:v>
                </c:pt>
                <c:pt idx="2">
                  <c:v>136218.32347923709</c:v>
                </c:pt>
                <c:pt idx="3">
                  <c:v>151853.04121629972</c:v>
                </c:pt>
                <c:pt idx="4">
                  <c:v>160072.06455911748</c:v>
                </c:pt>
                <c:pt idx="5">
                  <c:v>136527.72805274566</c:v>
                </c:pt>
                <c:pt idx="6">
                  <c:v>114097.15884912497</c:v>
                </c:pt>
                <c:pt idx="7">
                  <c:v>120396.65979667926</c:v>
                </c:pt>
                <c:pt idx="8">
                  <c:v>81496.65641511108</c:v>
                </c:pt>
                <c:pt idx="9">
                  <c:v>59104.739657542807</c:v>
                </c:pt>
                <c:pt idx="10">
                  <c:v>159607.92762267718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'Tab-15 PriorData'!$B$120</c:f>
              <c:strCache>
                <c:ptCount val="1"/>
                <c:pt idx="0">
                  <c:v>Profit.Total staff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PriorData'!$C$120:$N$120</c:f>
              <c:numCache>
                <c:formatCode>#,##0_);\(#,##0\)</c:formatCode>
                <c:ptCount val="11"/>
                <c:pt idx="0">
                  <c:v>36034.577856386779</c:v>
                </c:pt>
                <c:pt idx="1">
                  <c:v>12896.274391249381</c:v>
                </c:pt>
                <c:pt idx="2">
                  <c:v>21992.408612809362</c:v>
                </c:pt>
                <c:pt idx="3">
                  <c:v>27181.202479467556</c:v>
                </c:pt>
                <c:pt idx="4">
                  <c:v>29340.433248412486</c:v>
                </c:pt>
                <c:pt idx="5">
                  <c:v>12546.212970179971</c:v>
                </c:pt>
                <c:pt idx="6">
                  <c:v>-13275.311647965045</c:v>
                </c:pt>
                <c:pt idx="7">
                  <c:v>-9717.5594765374117</c:v>
                </c:pt>
                <c:pt idx="8">
                  <c:v>-33494.870900709386</c:v>
                </c:pt>
                <c:pt idx="9">
                  <c:v>1262.923568788091</c:v>
                </c:pt>
                <c:pt idx="10">
                  <c:v>19993.209793375459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'Tab-15 PriorData'!$B$121</c:f>
              <c:strCache>
                <c:ptCount val="1"/>
                <c:pt idx="0">
                  <c:v>Profit.Technical staff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PriorData'!$C$121:$N$121</c:f>
              <c:numCache>
                <c:formatCode>#,##0_);\(#,##0\)</c:formatCode>
                <c:ptCount val="11"/>
                <c:pt idx="0">
                  <c:v>49266.82609028522</c:v>
                </c:pt>
                <c:pt idx="1">
                  <c:v>17589.959815270198</c:v>
                </c:pt>
                <c:pt idx="2">
                  <c:v>28798.148031167686</c:v>
                </c:pt>
                <c:pt idx="3">
                  <c:v>35954.028814327503</c:v>
                </c:pt>
                <c:pt idx="4">
                  <c:v>38085.14370326497</c:v>
                </c:pt>
                <c:pt idx="5">
                  <c:v>16173.560874277455</c:v>
                </c:pt>
                <c:pt idx="6">
                  <c:v>-17938.172937951658</c:v>
                </c:pt>
                <c:pt idx="7">
                  <c:v>-13034.307018965797</c:v>
                </c:pt>
                <c:pt idx="8">
                  <c:v>-41485.364020944886</c:v>
                </c:pt>
                <c:pt idx="9">
                  <c:v>1579.8777652793403</c:v>
                </c:pt>
                <c:pt idx="10">
                  <c:v>25713.079613081925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57376"/>
        <c:axId val="45163264"/>
      </c:lineChart>
      <c:catAx>
        <c:axId val="45157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6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63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57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555555555555555"/>
          <c:y val="0.95581014729950897"/>
          <c:w val="0.71666666666666667"/>
          <c:h val="3.92798690671031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 Direct Hour</a:t>
            </a:r>
          </a:p>
        </c:rich>
      </c:tx>
      <c:layout>
        <c:manualLayout>
          <c:xMode val="edge"/>
          <c:yMode val="edge"/>
          <c:x val="0.4361869932925051"/>
          <c:y val="9.5849947345942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77836103820357E-2"/>
          <c:y val="0.16538642175651605"/>
          <c:w val="0.89234184239733627"/>
          <c:h val="0.68184233777496661"/>
        </c:manualLayout>
      </c:layout>
      <c:lineChart>
        <c:grouping val="standard"/>
        <c:varyColors val="0"/>
        <c:ser>
          <c:idx val="0"/>
          <c:order val="0"/>
          <c:tx>
            <c:strRef>
              <c:f>'Tab-15 PriorData'!$B$92</c:f>
              <c:strCache>
                <c:ptCount val="1"/>
                <c:pt idx="0">
                  <c:v>Net revenue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PriorData'!$C$92:$N$92</c:f>
              <c:numCache>
                <c:formatCode>#,##0.00_);\(#,##0.00\)</c:formatCode>
                <c:ptCount val="11"/>
                <c:pt idx="0">
                  <c:v>103.55671749069643</c:v>
                </c:pt>
                <c:pt idx="1">
                  <c:v>90.848681994273207</c:v>
                </c:pt>
                <c:pt idx="2">
                  <c:v>98.182110990425599</c:v>
                </c:pt>
                <c:pt idx="3">
                  <c:v>109.51096083054142</c:v>
                </c:pt>
                <c:pt idx="4">
                  <c:v>105.24116202252901</c:v>
                </c:pt>
                <c:pt idx="5">
                  <c:v>101.80890521726901</c:v>
                </c:pt>
                <c:pt idx="6">
                  <c:v>83.410919624308747</c:v>
                </c:pt>
                <c:pt idx="7">
                  <c:v>89.359430859430859</c:v>
                </c:pt>
                <c:pt idx="8">
                  <c:v>58.002899623368663</c:v>
                </c:pt>
                <c:pt idx="9">
                  <c:v>80.131936734514056</c:v>
                </c:pt>
                <c:pt idx="10">
                  <c:v>102.46753716937626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'Tab-15 PriorData'!$B$93</c:f>
              <c:strCache>
                <c:ptCount val="1"/>
                <c:pt idx="0">
                  <c:v>Average direct labor rate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PriorData'!$C$93:$N$93</c:f>
              <c:numCache>
                <c:formatCode>#,##0.00_);\(#,##0.00\)</c:formatCode>
                <c:ptCount val="11"/>
                <c:pt idx="0">
                  <c:v>26.154271557682087</c:v>
                </c:pt>
                <c:pt idx="1">
                  <c:v>27.747662961091461</c:v>
                </c:pt>
                <c:pt idx="2">
                  <c:v>27.16219486684367</c:v>
                </c:pt>
                <c:pt idx="3">
                  <c:v>29.780349092112338</c:v>
                </c:pt>
                <c:pt idx="4">
                  <c:v>30.618920979080208</c:v>
                </c:pt>
                <c:pt idx="5">
                  <c:v>30.647974968358881</c:v>
                </c:pt>
                <c:pt idx="6">
                  <c:v>31.713228194399743</c:v>
                </c:pt>
                <c:pt idx="7">
                  <c:v>32.034856284856282</c:v>
                </c:pt>
                <c:pt idx="8">
                  <c:v>33.114637820793554</c:v>
                </c:pt>
                <c:pt idx="9">
                  <c:v>31.688117014714955</c:v>
                </c:pt>
                <c:pt idx="10">
                  <c:v>26.865733250620348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'Tab-15 PriorData'!$B$94</c:f>
              <c:strCache>
                <c:ptCount val="1"/>
                <c:pt idx="0">
                  <c:v>Overhead expense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PriorData'!$C$94:$N$94</c:f>
              <c:numCache>
                <c:formatCode>#,##0.00_);\(#,##0.00\)</c:formatCode>
                <c:ptCount val="11"/>
                <c:pt idx="0">
                  <c:v>45.157898777246146</c:v>
                </c:pt>
                <c:pt idx="1">
                  <c:v>51.22644012127337</c:v>
                </c:pt>
                <c:pt idx="2">
                  <c:v>50.263068629817369</c:v>
                </c:pt>
                <c:pt idx="3">
                  <c:v>53.801857136948342</c:v>
                </c:pt>
                <c:pt idx="4">
                  <c:v>49.582739053104092</c:v>
                </c:pt>
                <c:pt idx="5">
                  <c:v>59.100284770074531</c:v>
                </c:pt>
                <c:pt idx="6">
                  <c:v>64.811422886736693</c:v>
                </c:pt>
                <c:pt idx="7">
                  <c:v>66.998748748748753</c:v>
                </c:pt>
                <c:pt idx="8">
                  <c:v>54.41427564158711</c:v>
                </c:pt>
                <c:pt idx="9">
                  <c:v>46.301882104150138</c:v>
                </c:pt>
                <c:pt idx="10">
                  <c:v>59.09412801420229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'Tab-15 PriorData'!$B$95</c:f>
              <c:strCache>
                <c:ptCount val="1"/>
                <c:pt idx="0">
                  <c:v>Break-even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PriorData'!$C$95:$N$95</c:f>
              <c:numCache>
                <c:formatCode>#,##0.00_);\(#,##0.00\)</c:formatCode>
                <c:ptCount val="11"/>
                <c:pt idx="0">
                  <c:v>71.312170334928226</c:v>
                </c:pt>
                <c:pt idx="1">
                  <c:v>78.974103082364834</c:v>
                </c:pt>
                <c:pt idx="2">
                  <c:v>77.425263496661046</c:v>
                </c:pt>
                <c:pt idx="3">
                  <c:v>83.582206229060674</c:v>
                </c:pt>
                <c:pt idx="4">
                  <c:v>80.201660032184293</c:v>
                </c:pt>
                <c:pt idx="5">
                  <c:v>89.748259738433418</c:v>
                </c:pt>
                <c:pt idx="6">
                  <c:v>96.52465108113644</c:v>
                </c:pt>
                <c:pt idx="7">
                  <c:v>99.033605033605028</c:v>
                </c:pt>
                <c:pt idx="8">
                  <c:v>87.528913462380658</c:v>
                </c:pt>
                <c:pt idx="9">
                  <c:v>77.9899991188651</c:v>
                </c:pt>
                <c:pt idx="10">
                  <c:v>85.959861264822635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'Tab-15 PriorData'!$B$96</c:f>
              <c:strCache>
                <c:ptCount val="1"/>
                <c:pt idx="0">
                  <c:v>Operating profit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PriorData'!$C$96:$N$96</c:f>
              <c:numCache>
                <c:formatCode>#,##0.00_);\(#,##0.00\)</c:formatCode>
                <c:ptCount val="11"/>
                <c:pt idx="0">
                  <c:v>32.244547155768203</c:v>
                </c:pt>
                <c:pt idx="1">
                  <c:v>11.874578911908371</c:v>
                </c:pt>
                <c:pt idx="2">
                  <c:v>20.756847493764557</c:v>
                </c:pt>
                <c:pt idx="3">
                  <c:v>25.928754601480748</c:v>
                </c:pt>
                <c:pt idx="4">
                  <c:v>25.039501990344711</c:v>
                </c:pt>
                <c:pt idx="5">
                  <c:v>12.060645478835607</c:v>
                </c:pt>
                <c:pt idx="6">
                  <c:v>-13.113731456827692</c:v>
                </c:pt>
                <c:pt idx="7">
                  <c:v>-9.6741741741741745</c:v>
                </c:pt>
                <c:pt idx="8">
                  <c:v>-29.526013839011998</c:v>
                </c:pt>
                <c:pt idx="9">
                  <c:v>2.1419376156489562</c:v>
                </c:pt>
                <c:pt idx="10">
                  <c:v>16.507675904553597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67968"/>
        <c:axId val="45290240"/>
      </c:lineChart>
      <c:catAx>
        <c:axId val="45267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9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90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);\(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679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"/>
          <c:y val="0.95581014729950897"/>
          <c:w val="0.83888888888888891"/>
          <c:h val="3.92798690671031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Multiples of Direct Labor</a:t>
            </a:r>
          </a:p>
        </c:rich>
      </c:tx>
      <c:layout>
        <c:manualLayout>
          <c:xMode val="edge"/>
          <c:yMode val="edge"/>
          <c:x val="0.39400664916885386"/>
          <c:y val="1.9575842708695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043285238623748E-2"/>
          <c:y val="0.12234910277324633"/>
          <c:w val="0.92785793562708108"/>
          <c:h val="0.70962479608482876"/>
        </c:manualLayout>
      </c:layout>
      <c:lineChart>
        <c:grouping val="standard"/>
        <c:varyColors val="0"/>
        <c:ser>
          <c:idx val="0"/>
          <c:order val="0"/>
          <c:tx>
            <c:strRef>
              <c:f>'Tab-15 PriorData'!$B$109</c:f>
              <c:strCache>
                <c:ptCount val="1"/>
                <c:pt idx="0">
                  <c:v>Net revenue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PriorData'!$C$109:$N$109</c:f>
              <c:numCache>
                <c:formatCode>#,##0.00_);\(#,##0.00\)</c:formatCode>
                <c:ptCount val="11"/>
                <c:pt idx="0">
                  <c:v>3.9594571487990664</c:v>
                </c:pt>
                <c:pt idx="1">
                  <c:v>3.2741021152543093</c:v>
                </c:pt>
                <c:pt idx="2">
                  <c:v>3.6146604304895282</c:v>
                </c:pt>
                <c:pt idx="3">
                  <c:v>3.6772893592287215</c:v>
                </c:pt>
                <c:pt idx="4">
                  <c:v>3.437128372173305</c:v>
                </c:pt>
                <c:pt idx="5">
                  <c:v>3.3218803305072204</c:v>
                </c:pt>
                <c:pt idx="6">
                  <c:v>2.6301617455342603</c:v>
                </c:pt>
                <c:pt idx="7">
                  <c:v>2.7894437878803098</c:v>
                </c:pt>
                <c:pt idx="8">
                  <c:v>1.7515788618091759</c:v>
                </c:pt>
                <c:pt idx="9">
                  <c:v>2.5287692764231884</c:v>
                </c:pt>
                <c:pt idx="10">
                  <c:v>3.8140606926114775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'Tab-15 PriorData'!$B$111</c:f>
              <c:strCache>
                <c:ptCount val="1"/>
                <c:pt idx="0">
                  <c:v>Overhead rate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PriorData'!$C$111:$N$111</c:f>
              <c:numCache>
                <c:formatCode>#,##0.00_);\(#,##0.00\)</c:formatCode>
                <c:ptCount val="11"/>
                <c:pt idx="0">
                  <c:v>1.7265974576142333</c:v>
                </c:pt>
                <c:pt idx="1">
                  <c:v>1.846153320843795</c:v>
                </c:pt>
                <c:pt idx="2">
                  <c:v>1.8504789055604802</c:v>
                </c:pt>
                <c:pt idx="3">
                  <c:v>1.8066227823769323</c:v>
                </c:pt>
                <c:pt idx="4">
                  <c:v>1.6193496526863422</c:v>
                </c:pt>
                <c:pt idx="5">
                  <c:v>1.9283585565144175</c:v>
                </c:pt>
                <c:pt idx="6">
                  <c:v>2.0436715710380371</c:v>
                </c:pt>
                <c:pt idx="7">
                  <c:v>2.0914327866181441</c:v>
                </c:pt>
                <c:pt idx="8">
                  <c:v>1.6432091432212177</c:v>
                </c:pt>
                <c:pt idx="9">
                  <c:v>1.4611749282120177</c:v>
                </c:pt>
                <c:pt idx="10">
                  <c:v>2.1996097207895029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'Tab-15 PriorData'!$B$112</c:f>
              <c:strCache>
                <c:ptCount val="1"/>
                <c:pt idx="0">
                  <c:v>Break-even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PriorData'!$C$112:$N$112</c:f>
              <c:numCache>
                <c:formatCode>#,##0.00_);\(#,##0.00\)</c:formatCode>
                <c:ptCount val="11"/>
                <c:pt idx="0">
                  <c:v>2.7265974576142331</c:v>
                </c:pt>
                <c:pt idx="1">
                  <c:v>2.8461533208437952</c:v>
                </c:pt>
                <c:pt idx="2">
                  <c:v>2.8504789055604802</c:v>
                </c:pt>
                <c:pt idx="3">
                  <c:v>2.8066227823769321</c:v>
                </c:pt>
                <c:pt idx="4">
                  <c:v>2.6193496526863425</c:v>
                </c:pt>
                <c:pt idx="5">
                  <c:v>2.9283585565144175</c:v>
                </c:pt>
                <c:pt idx="6">
                  <c:v>3.0436715710380371</c:v>
                </c:pt>
                <c:pt idx="7">
                  <c:v>3.0914327866181441</c:v>
                </c:pt>
                <c:pt idx="8">
                  <c:v>2.6432091432212177</c:v>
                </c:pt>
                <c:pt idx="9">
                  <c:v>2.4611749282120181</c:v>
                </c:pt>
                <c:pt idx="10">
                  <c:v>3.1996097207895029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'Tab-15 PriorData'!$B$113</c:f>
              <c:strCache>
                <c:ptCount val="1"/>
                <c:pt idx="0">
                  <c:v>Operating profit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'Tab-15 PriorData'!$C$6:$N$6</c:f>
              <c:strCache>
                <c:ptCount val="11"/>
                <c:pt idx="0">
                  <c:v>12/31/03</c:v>
                </c:pt>
                <c:pt idx="1">
                  <c:v>12/31/04</c:v>
                </c:pt>
                <c:pt idx="2">
                  <c:v>12/31/05</c:v>
                </c:pt>
                <c:pt idx="3">
                  <c:v>12/31/06</c:v>
                </c:pt>
                <c:pt idx="4">
                  <c:v>12/31/07</c:v>
                </c:pt>
                <c:pt idx="5">
                  <c:v>12/31/08</c:v>
                </c:pt>
                <c:pt idx="6">
                  <c:v>12/31/09</c:v>
                </c:pt>
                <c:pt idx="7">
                  <c:v>12/31/10</c:v>
                </c:pt>
                <c:pt idx="8">
                  <c:v>12/31/11</c:v>
                </c:pt>
                <c:pt idx="9">
                  <c:v>2012 YTD</c:v>
                </c:pt>
                <c:pt idx="10">
                  <c:v>Plan2012</c:v>
                </c:pt>
              </c:strCache>
            </c:strRef>
          </c:cat>
          <c:val>
            <c:numRef>
              <c:f>'Tab-15 PriorData'!$C$113:$N$113</c:f>
              <c:numCache>
                <c:formatCode>#,##0.00_);\(#,##0.00\)</c:formatCode>
                <c:ptCount val="11"/>
                <c:pt idx="0">
                  <c:v>1.2328596911848331</c:v>
                </c:pt>
                <c:pt idx="1">
                  <c:v>0.42794879441051425</c:v>
                </c:pt>
                <c:pt idx="2">
                  <c:v>0.76418152492904812</c:v>
                </c:pt>
                <c:pt idx="3">
                  <c:v>0.8706665768517895</c:v>
                </c:pt>
                <c:pt idx="4">
                  <c:v>0.81777871948696279</c:v>
                </c:pt>
                <c:pt idx="5">
                  <c:v>0.39352177399280297</c:v>
                </c:pt>
                <c:pt idx="6">
                  <c:v>-0.4135098255037768</c:v>
                </c:pt>
                <c:pt idx="7">
                  <c:v>-0.30198899873783452</c:v>
                </c:pt>
                <c:pt idx="8">
                  <c:v>-0.89163028141204181</c:v>
                </c:pt>
                <c:pt idx="9">
                  <c:v>6.7594348211170413E-2</c:v>
                </c:pt>
                <c:pt idx="10">
                  <c:v>0.61445097182197417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76224"/>
        <c:axId val="46764032"/>
      </c:lineChart>
      <c:catAx>
        <c:axId val="46676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76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64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);\(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762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55555555555555"/>
          <c:y val="0.95581014729950897"/>
          <c:w val="0.49888888888888894"/>
          <c:h val="3.92798690671031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rgb="FF92D050"/>
  </sheetPr>
  <sheetViews>
    <sheetView workbookViewId="0"/>
  </sheetViews>
  <pageMargins left="0.75" right="0.75" top="1" bottom="1" header="0.5" footer="0.5"/>
  <pageSetup orientation="landscape" blackAndWhite="1" horizontalDpi="300" verticalDpi="300" r:id="rId1"/>
  <headerFooter alignWithMargins="0">
    <oddHeader>&amp;L&amp;"Arial,Regular"&amp;8&amp;D
&amp;T&amp;C&amp;"Times New Roman,Italic"CAPP * Computer Aided Profit Plan
For Design Firm Financial Control
Executive Summary Analysis of Operations</oddHeader>
    <oddFooter>&amp;L&amp;A&amp;R&amp;P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9">
    <tabColor rgb="FF92D050"/>
  </sheetPr>
  <sheetViews>
    <sheetView zoomScale="93" workbookViewId="0"/>
  </sheetViews>
  <pageMargins left="0.75" right="0.75" top="1" bottom="1" header="0.5" footer="0.5"/>
  <pageSetup orientation="landscape" blackAndWhite="1" horizontalDpi="300" verticalDpi="300" r:id="rId1"/>
  <headerFooter alignWithMargins="0">
    <oddHeader>&amp;L&amp;"Arial,Regular"&amp;8&amp;D
&amp;T
&amp;C&amp;"Times New Roman,Italic"CAPP * Computer Aided Profit Plan
For Design Firm Financial Control
Executive Summary Analysis of Operations</oddHeader>
    <oddFooter>&amp;L&amp;A&amp;R&amp;P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8">
    <tabColor rgb="FF92D050"/>
  </sheetPr>
  <sheetViews>
    <sheetView zoomScale="93" workbookViewId="0"/>
  </sheetViews>
  <pageMargins left="0.75" right="0.75" top="1" bottom="1" header="0.5" footer="0.5"/>
  <pageSetup orientation="landscape" blackAndWhite="1" horizontalDpi="300" verticalDpi="300" r:id="rId1"/>
  <headerFooter alignWithMargins="0">
    <oddHeader>&amp;L&amp;"Arial,Regular"&amp;8&amp;D
&amp;T
&amp;C&amp;"Times New Roman,Italic"CAPP * Computer Aided Profit Plan
For Design Firm Financial Control
Executive Summary Analysis of Operations</oddHeader>
    <oddFooter>&amp;L&amp;A&amp;R&amp;P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">
    <tabColor rgb="FF92D050"/>
  </sheetPr>
  <sheetViews>
    <sheetView zoomScale="93" workbookViewId="0"/>
  </sheetViews>
  <pageMargins left="0.75" right="0.75" top="1" bottom="1" header="0.5" footer="0.5"/>
  <pageSetup orientation="landscape" blackAndWhite="1" horizontalDpi="300" verticalDpi="300" r:id="rId1"/>
  <headerFooter alignWithMargins="0">
    <oddHeader>&amp;L&amp;"Arial,Regular"&amp;8&amp;D
&amp;T
&amp;C&amp;"Times New Roman,Italic"CAPP * Computer Aided Profit Plan
For Design Firm Financial Control
Executive Summary Analysis of Operations</oddHeader>
    <oddFooter>&amp;L&amp;A&amp;R&amp;P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>
    <tabColor rgb="FF92D050"/>
  </sheetPr>
  <sheetViews>
    <sheetView zoomScale="93" workbookViewId="0"/>
  </sheetViews>
  <pageMargins left="0.75" right="0.75" top="1" bottom="1" header="0.5" footer="0.5"/>
  <pageSetup orientation="landscape" blackAndWhite="1" horizontalDpi="300" verticalDpi="300" r:id="rId1"/>
  <headerFooter alignWithMargins="0">
    <oddHeader>&amp;L&amp;"Arial,Regular"&amp;8&amp;D
&amp;T&amp;C&amp;"Times New Roman,Italic"CAPP * Computer Aided Profit Plan
For Design Firm Financial Control
Executive Summary Analysis of Operations</oddHeader>
    <oddFooter>&amp;L&amp;A&amp;R&amp;P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rgb="FF92D050"/>
  </sheetPr>
  <sheetViews>
    <sheetView zoomScale="75" workbookViewId="0"/>
  </sheetViews>
  <pageMargins left="0.75" right="0.75" top="1" bottom="1" header="0.5" footer="0.5"/>
  <pageSetup orientation="landscape" horizontalDpi="300" verticalDpi="300" r:id="rId1"/>
  <headerFooter alignWithMargins="0">
    <oddHeader xml:space="preserve">&amp;L&amp;"Arial,Regular"&amp;8&amp;D
&amp;T
&amp;C&amp;"Times New Roman,Italic"CAPP * Computer Aided Profit Plan
For Design Firm Financial Control
Executive Summary Analysis of Operations
</oddHeader>
    <oddFooter>&amp;L&amp;A&amp;R&amp;P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">
    <tabColor rgb="FF92D050"/>
  </sheetPr>
  <sheetViews>
    <sheetView workbookViewId="0"/>
  </sheetViews>
  <pageMargins left="0.75" right="0.75" top="1" bottom="1" header="0.5" footer="0.5"/>
  <pageSetup orientation="landscape" horizontalDpi="300" verticalDpi="300" r:id="rId1"/>
  <headerFooter alignWithMargins="0">
    <oddHeader>&amp;L&amp;"Arial,Regular"&amp;8&amp;D
&amp;T&amp;C&amp;"Times New Roman,Italic"CAPP * Computer Aided Profit Plan
For Design Firm Financial Control
Executive Summary Analysis of Operations</oddHeader>
    <oddFooter>&amp;L&amp;A&amp;R&amp;P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2">
    <tabColor rgb="FF92D050"/>
  </sheetPr>
  <sheetViews>
    <sheetView zoomScale="93" workbookViewId="0"/>
  </sheetViews>
  <pageMargins left="0.75" right="0.75" top="1" bottom="1" header="0.5" footer="0.5"/>
  <pageSetup orientation="landscape" horizontalDpi="300" verticalDpi="300" r:id="rId1"/>
  <headerFooter alignWithMargins="0">
    <oddHeader xml:space="preserve">&amp;L&amp;"Arial,Regular"&amp;8&amp;D
&amp;T
&amp;C&amp;"Times New Roman,Italic"CAPP * Computer Aided Profit Plan
For Design Firm Financial Control
Executive Summary Analysis of Operations
</oddHeader>
    <oddFooter>&amp;L&amp;A&amp;R&amp;P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9" workbookViewId="0" zoomToFit="1"/>
  </sheetViews>
  <pageMargins left="0.7" right="0.7" top="0.75" bottom="0.75" header="0.3" footer="0.3"/>
  <pageSetup orientation="landscape" r:id="rId1"/>
  <headerFooter>
    <oddHeader>&amp;L&amp;D
&amp;T&amp;CCAPP * Computer Aided &amp;"Times New Roman,Italic"Profit Plan
For Design Firm Financial Control
Executive Summary Analysis of Operations</oddHeader>
    <oddFooter>&amp;L&amp;A&amp;R&amp;P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>
    <tabColor rgb="FF92D050"/>
  </sheetPr>
  <sheetViews>
    <sheetView zoomScale="93" workbookViewId="0"/>
  </sheetViews>
  <pageMargins left="0.75" right="0.75" top="1" bottom="1" header="0.5" footer="0.5"/>
  <pageSetup orientation="landscape" blackAndWhite="1" horizontalDpi="300" verticalDpi="300" r:id="rId1"/>
  <headerFooter alignWithMargins="0">
    <oddHeader>&amp;L&amp;"Arial,Regular"&amp;8&amp;D
&amp;T&amp;C&amp;"Times New Roman,Italic"CAPP * Computer Aided Profit Plan
For Design Firm Financial Control
Executive Summary Analysis of Operations</oddHeader>
    <oddFooter>&amp;L&amp;A&amp;R&amp;P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1">
    <tabColor rgb="FF92D050"/>
  </sheetPr>
  <sheetViews>
    <sheetView zoomScale="93" workbookViewId="0"/>
  </sheetViews>
  <pageMargins left="0.75" right="0.75" top="1" bottom="1" header="0.5" footer="0.5"/>
  <pageSetup orientation="landscape" blackAndWhite="1" horizontalDpi="300" verticalDpi="300" r:id="rId1"/>
  <headerFooter alignWithMargins="0">
    <oddHeader>&amp;L&amp;"Arial,Regular"&amp;8&amp;D
&amp;T&amp;C&amp;"Times New Roman,Italic"CAPP * Computer Aided Profit Plan
For Design Firm Financial Control
Executive Summary Analysis of Operations</oddHeader>
    <oddFooter>&amp;L&amp;A&amp;R&amp;P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0">
    <tabColor rgb="FF92D050"/>
  </sheetPr>
  <sheetViews>
    <sheetView zoomScale="93" workbookViewId="0"/>
  </sheetViews>
  <pageMargins left="0.75" right="0.75" top="1" bottom="1" header="0.5" footer="0.5"/>
  <pageSetup orientation="landscape" blackAndWhite="1" horizontalDpi="300" verticalDpi="300" r:id="rId1"/>
  <headerFooter alignWithMargins="0">
    <oddHeader>&amp;L&amp;"Arial,Regular"&amp;8&amp;D
&amp;T
&amp;C&amp;"Times New Roman,Italic"CAPP * Computer Aided Profit Plan
For Design Firm Financial Control
Executive Summary Analysis of Operations</oddHeader>
    <oddFooter>&amp;L&amp;A&amp;R&amp;P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66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66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66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473</xdr:row>
      <xdr:rowOff>0</xdr:rowOff>
    </xdr:from>
    <xdr:to>
      <xdr:col>12</xdr:col>
      <xdr:colOff>0</xdr:colOff>
      <xdr:row>473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66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66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66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66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66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aly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Labor"/>
      <sheetName val="CashFlowPlan"/>
      <sheetName val="Utilization Rates"/>
      <sheetName val="Revenue Factor"/>
      <sheetName val="Multiples of Direct Labor"/>
      <sheetName val="Per Direct Hour"/>
      <sheetName val="Absolute"/>
      <sheetName val="FTE"/>
      <sheetName val="PerFTE"/>
      <sheetName val="YearEndCash&amp;Reveivables"/>
      <sheetName val="Cach&amp;AccRec"/>
      <sheetName val="CurrentData"/>
      <sheetName val="PriorData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>
        <row r="48">
          <cell r="C48">
            <v>144615.69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imes New Roman Fon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16" zoomScaleNormal="100" workbookViewId="0">
      <selection activeCell="C35" sqref="C35"/>
    </sheetView>
  </sheetViews>
  <sheetFormatPr defaultRowHeight="15.75" x14ac:dyDescent="0.25"/>
  <cols>
    <col min="1" max="1" width="9" style="105"/>
    <col min="2" max="2" width="5.25" style="105" customWidth="1"/>
    <col min="3" max="3" width="46.875" style="105" bestFit="1" customWidth="1"/>
    <col min="4" max="16384" width="9" style="105"/>
  </cols>
  <sheetData>
    <row r="1" spans="1:6" ht="16.5" thickBot="1" x14ac:dyDescent="0.3"/>
    <row r="2" spans="1:6" ht="16.5" thickTop="1" x14ac:dyDescent="0.25">
      <c r="A2" s="106"/>
      <c r="B2" s="107"/>
      <c r="C2" s="107"/>
      <c r="D2" s="107"/>
      <c r="E2" s="107"/>
      <c r="F2" s="108"/>
    </row>
    <row r="3" spans="1:6" ht="20.25" x14ac:dyDescent="0.3">
      <c r="A3" s="109"/>
      <c r="B3" s="111"/>
      <c r="C3" s="130" t="s">
        <v>1055</v>
      </c>
      <c r="D3" s="111"/>
      <c r="E3" s="111"/>
      <c r="F3" s="112"/>
    </row>
    <row r="4" spans="1:6" x14ac:dyDescent="0.25">
      <c r="A4" s="109"/>
      <c r="B4" s="111"/>
      <c r="C4" s="115" t="s">
        <v>1056</v>
      </c>
      <c r="D4" s="111"/>
      <c r="E4" s="111"/>
      <c r="F4" s="112"/>
    </row>
    <row r="5" spans="1:6" x14ac:dyDescent="0.25">
      <c r="A5" s="109"/>
      <c r="B5" s="111"/>
      <c r="C5" s="115" t="s">
        <v>1057</v>
      </c>
      <c r="D5" s="111"/>
      <c r="E5" s="111"/>
      <c r="F5" s="112"/>
    </row>
    <row r="6" spans="1:6" x14ac:dyDescent="0.25">
      <c r="A6" s="109"/>
      <c r="B6" s="111"/>
      <c r="C6" s="111"/>
      <c r="D6" s="111"/>
      <c r="E6" s="111"/>
      <c r="F6" s="112"/>
    </row>
    <row r="7" spans="1:6" ht="16.5" thickBot="1" x14ac:dyDescent="0.3">
      <c r="A7" s="116"/>
      <c r="B7" s="117"/>
      <c r="C7" s="117"/>
      <c r="D7" s="117"/>
      <c r="E7" s="117"/>
      <c r="F7" s="118"/>
    </row>
    <row r="8" spans="1:6" ht="16.5" thickTop="1" x14ac:dyDescent="0.25"/>
    <row r="9" spans="1:6" ht="16.5" thickBot="1" x14ac:dyDescent="0.3"/>
    <row r="10" spans="1:6" ht="16.5" thickTop="1" x14ac:dyDescent="0.25">
      <c r="A10" s="106"/>
      <c r="B10" s="107"/>
      <c r="C10" s="107"/>
      <c r="D10" s="107"/>
      <c r="E10" s="107"/>
      <c r="F10" s="108"/>
    </row>
    <row r="11" spans="1:6" x14ac:dyDescent="0.25">
      <c r="A11" s="109"/>
      <c r="B11" s="111"/>
      <c r="C11" s="111"/>
      <c r="D11" s="111"/>
      <c r="E11" s="114" t="s">
        <v>1000</v>
      </c>
      <c r="F11" s="112"/>
    </row>
    <row r="12" spans="1:6" x14ac:dyDescent="0.25">
      <c r="A12" s="109" t="s">
        <v>1058</v>
      </c>
      <c r="B12" s="110"/>
      <c r="C12" s="111" t="s">
        <v>1074</v>
      </c>
      <c r="D12" s="111"/>
      <c r="E12" s="128">
        <v>1</v>
      </c>
      <c r="F12" s="112"/>
    </row>
    <row r="13" spans="1:6" x14ac:dyDescent="0.25">
      <c r="A13" s="109"/>
      <c r="B13" s="113" t="s">
        <v>1048</v>
      </c>
      <c r="C13" s="111"/>
      <c r="D13" s="111"/>
      <c r="F13" s="112"/>
    </row>
    <row r="14" spans="1:6" x14ac:dyDescent="0.25">
      <c r="A14" s="109" t="s">
        <v>1059</v>
      </c>
      <c r="B14" s="111"/>
      <c r="C14" s="111" t="s">
        <v>1037</v>
      </c>
      <c r="D14" s="111"/>
      <c r="E14" s="115">
        <v>2</v>
      </c>
      <c r="F14" s="112"/>
    </row>
    <row r="15" spans="1:6" x14ac:dyDescent="0.25">
      <c r="A15" s="109" t="s">
        <v>1060</v>
      </c>
      <c r="B15" s="111"/>
      <c r="C15" s="111" t="s">
        <v>1038</v>
      </c>
      <c r="D15" s="111"/>
      <c r="E15" s="115">
        <v>3</v>
      </c>
      <c r="F15" s="112"/>
    </row>
    <row r="16" spans="1:6" x14ac:dyDescent="0.25">
      <c r="A16" s="109" t="s">
        <v>1061</v>
      </c>
      <c r="B16" s="111"/>
      <c r="C16" s="111" t="s">
        <v>1039</v>
      </c>
      <c r="D16" s="111"/>
      <c r="E16" s="115">
        <v>4</v>
      </c>
      <c r="F16" s="112"/>
    </row>
    <row r="17" spans="1:6" x14ac:dyDescent="0.25">
      <c r="A17" s="109" t="s">
        <v>1062</v>
      </c>
      <c r="B17" s="111"/>
      <c r="C17" s="111" t="s">
        <v>998</v>
      </c>
      <c r="D17" s="111"/>
      <c r="E17" s="115">
        <v>5</v>
      </c>
      <c r="F17" s="112"/>
    </row>
    <row r="18" spans="1:6" x14ac:dyDescent="0.25">
      <c r="A18" s="109" t="s">
        <v>1063</v>
      </c>
      <c r="B18" s="111"/>
      <c r="C18" s="111" t="s">
        <v>834</v>
      </c>
      <c r="D18" s="111"/>
      <c r="E18" s="115">
        <v>6</v>
      </c>
      <c r="F18" s="112"/>
    </row>
    <row r="19" spans="1:6" x14ac:dyDescent="0.25">
      <c r="A19" s="109" t="s">
        <v>1064</v>
      </c>
      <c r="B19" s="111"/>
      <c r="C19" s="111" t="s">
        <v>1040</v>
      </c>
      <c r="D19" s="111"/>
      <c r="E19" s="115">
        <v>7</v>
      </c>
      <c r="F19" s="112"/>
    </row>
    <row r="20" spans="1:6" x14ac:dyDescent="0.25">
      <c r="A20" s="109" t="s">
        <v>1065</v>
      </c>
      <c r="B20" s="111"/>
      <c r="C20" s="111" t="s">
        <v>1041</v>
      </c>
      <c r="D20" s="111"/>
      <c r="E20" s="115">
        <v>8</v>
      </c>
      <c r="F20" s="112"/>
    </row>
    <row r="21" spans="1:6" x14ac:dyDescent="0.25">
      <c r="A21" s="109" t="s">
        <v>1066</v>
      </c>
      <c r="B21" s="111"/>
      <c r="C21" s="111" t="s">
        <v>30</v>
      </c>
      <c r="D21" s="111"/>
      <c r="E21" s="115">
        <v>9</v>
      </c>
      <c r="F21" s="112"/>
    </row>
    <row r="22" spans="1:6" x14ac:dyDescent="0.25">
      <c r="A22" s="109" t="s">
        <v>1067</v>
      </c>
      <c r="B22" s="111"/>
      <c r="C22" s="111" t="s">
        <v>36</v>
      </c>
      <c r="D22" s="111"/>
      <c r="E22" s="115">
        <v>10</v>
      </c>
      <c r="F22" s="112"/>
    </row>
    <row r="23" spans="1:6" x14ac:dyDescent="0.25">
      <c r="A23" s="109" t="s">
        <v>1068</v>
      </c>
      <c r="B23" s="111"/>
      <c r="C23" s="111" t="s">
        <v>1042</v>
      </c>
      <c r="D23" s="111"/>
      <c r="E23" s="115">
        <v>11</v>
      </c>
      <c r="F23" s="112"/>
    </row>
    <row r="24" spans="1:6" x14ac:dyDescent="0.25">
      <c r="A24" s="109" t="s">
        <v>1069</v>
      </c>
      <c r="B24" s="111"/>
      <c r="C24" s="111" t="s">
        <v>1043</v>
      </c>
      <c r="D24" s="111"/>
      <c r="E24" s="115">
        <v>12</v>
      </c>
      <c r="F24" s="112"/>
    </row>
    <row r="25" spans="1:6" x14ac:dyDescent="0.25">
      <c r="A25" s="109" t="s">
        <v>1070</v>
      </c>
      <c r="B25" s="111"/>
      <c r="C25" s="111" t="s">
        <v>1044</v>
      </c>
      <c r="D25" s="111"/>
      <c r="E25" s="115">
        <v>13</v>
      </c>
      <c r="F25" s="112"/>
    </row>
    <row r="26" spans="1:6" x14ac:dyDescent="0.25">
      <c r="A26" s="109" t="s">
        <v>1071</v>
      </c>
      <c r="B26" s="113" t="s">
        <v>1045</v>
      </c>
      <c r="C26" s="111"/>
      <c r="D26" s="111"/>
      <c r="E26" s="115" t="s">
        <v>1050</v>
      </c>
      <c r="F26" s="112"/>
    </row>
    <row r="27" spans="1:6" x14ac:dyDescent="0.25">
      <c r="A27" s="109" t="s">
        <v>1072</v>
      </c>
      <c r="B27" s="113" t="s">
        <v>1046</v>
      </c>
      <c r="C27" s="111"/>
      <c r="D27" s="111"/>
      <c r="E27" s="115" t="s">
        <v>1051</v>
      </c>
      <c r="F27" s="112"/>
    </row>
    <row r="28" spans="1:6" x14ac:dyDescent="0.25">
      <c r="A28" s="109" t="s">
        <v>1073</v>
      </c>
      <c r="B28" s="113" t="s">
        <v>1047</v>
      </c>
      <c r="C28" s="111"/>
      <c r="D28" s="111"/>
      <c r="E28" s="115" t="s">
        <v>1052</v>
      </c>
      <c r="F28" s="112"/>
    </row>
    <row r="29" spans="1:6" x14ac:dyDescent="0.25">
      <c r="A29" s="109"/>
      <c r="B29" s="113"/>
      <c r="C29" s="111"/>
      <c r="D29" s="111"/>
      <c r="E29" s="115"/>
      <c r="F29" s="112"/>
    </row>
    <row r="30" spans="1:6" x14ac:dyDescent="0.25">
      <c r="A30" s="109"/>
      <c r="B30" s="111"/>
      <c r="C30" s="111"/>
      <c r="D30" s="111"/>
      <c r="E30" s="115"/>
      <c r="F30" s="112"/>
    </row>
    <row r="31" spans="1:6" x14ac:dyDescent="0.25">
      <c r="A31" s="109"/>
      <c r="B31" s="111"/>
      <c r="C31" s="111"/>
      <c r="D31" s="111"/>
      <c r="E31" s="115"/>
      <c r="F31" s="112"/>
    </row>
    <row r="32" spans="1:6" ht="16.5" thickBot="1" x14ac:dyDescent="0.3">
      <c r="A32" s="116"/>
      <c r="B32" s="117"/>
      <c r="C32" s="117"/>
      <c r="D32" s="117"/>
      <c r="E32" s="117"/>
      <c r="F32" s="118"/>
    </row>
    <row r="33" ht="16.5" thickTop="1" x14ac:dyDescent="0.25"/>
  </sheetData>
  <printOptions horizontalCentered="1" verticalCentered="1"/>
  <pageMargins left="0.75" right="0.75" top="1" bottom="1" header="0.5" footer="0.5"/>
  <pageSetup orientation="portrait" horizontalDpi="300" verticalDpi="300" r:id="rId1"/>
  <headerFooter alignWithMargins="0">
    <oddHeader xml:space="preserve">&amp;L&amp;"Arial,Regular"&amp;D
&amp;T&amp;C&amp;"Times New Roman,Italic"CAPP * Computer Aided Profit Plan
For Design Firm Financial Control
&amp;"Times New Roman,Bold Italic"&amp;11Executive Summary Analysis of Operations&amp;"Times New Roman,Italic"&amp;10
</oddHeader>
    <oddFooter>&amp;L&amp;"+,Regular"&amp;Z&amp;F
&amp;A&amp;R&amp;P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tabColor rgb="FF00B0F0"/>
  </sheetPr>
  <dimension ref="A1:U366"/>
  <sheetViews>
    <sheetView zoomScale="115" zoomScaleNormal="115" zoomScaleSheetLayoutView="100" workbookViewId="0">
      <selection activeCell="G55" sqref="G55"/>
    </sheetView>
  </sheetViews>
  <sheetFormatPr defaultColWidth="12.625" defaultRowHeight="11.25" x14ac:dyDescent="0.2"/>
  <cols>
    <col min="1" max="1" width="7" style="195" customWidth="1"/>
    <col min="2" max="2" width="22.75" style="194" customWidth="1"/>
    <col min="3" max="3" width="8.5" style="246" customWidth="1"/>
    <col min="4" max="4" width="8.75" style="374" customWidth="1"/>
    <col min="5" max="5" width="9.25" style="246" bestFit="1" customWidth="1"/>
    <col min="6" max="11" width="7" style="194" bestFit="1" customWidth="1"/>
    <col min="12" max="16384" width="12.625" style="194"/>
  </cols>
  <sheetData>
    <row r="1" spans="1:11" x14ac:dyDescent="0.2">
      <c r="A1" s="833" t="s">
        <v>624</v>
      </c>
      <c r="C1" s="370"/>
      <c r="D1" s="194"/>
      <c r="E1" s="370"/>
    </row>
    <row r="2" spans="1:11" x14ac:dyDescent="0.2">
      <c r="A2" s="833" t="s">
        <v>623</v>
      </c>
      <c r="C2" s="844" t="s">
        <v>1089</v>
      </c>
      <c r="D2" s="194"/>
      <c r="E2" s="370"/>
    </row>
    <row r="3" spans="1:11" ht="12" thickBot="1" x14ac:dyDescent="0.25">
      <c r="A3" s="833" t="s">
        <v>1003</v>
      </c>
      <c r="C3" s="845" t="s">
        <v>1090</v>
      </c>
      <c r="D3" s="194"/>
      <c r="E3" s="370"/>
    </row>
    <row r="4" spans="1:11" ht="12" thickTop="1" x14ac:dyDescent="0.2">
      <c r="C4" s="371"/>
      <c r="D4" s="196"/>
      <c r="E4" s="371" t="s">
        <v>622</v>
      </c>
      <c r="F4" s="196" t="s">
        <v>51</v>
      </c>
      <c r="G4" s="193"/>
      <c r="H4" s="196" t="s">
        <v>51</v>
      </c>
      <c r="I4" s="196" t="s">
        <v>622</v>
      </c>
      <c r="J4" s="196" t="s">
        <v>51</v>
      </c>
      <c r="K4" s="196" t="s">
        <v>622</v>
      </c>
    </row>
    <row r="5" spans="1:11" x14ac:dyDescent="0.2">
      <c r="C5" s="371"/>
      <c r="D5" s="196"/>
      <c r="E5" s="371" t="s">
        <v>51</v>
      </c>
      <c r="F5" s="196" t="s">
        <v>219</v>
      </c>
      <c r="G5" s="196" t="s">
        <v>622</v>
      </c>
      <c r="H5" s="196" t="s">
        <v>219</v>
      </c>
      <c r="I5" s="196" t="s">
        <v>219</v>
      </c>
      <c r="J5" s="196" t="s">
        <v>219</v>
      </c>
      <c r="K5" s="196" t="s">
        <v>219</v>
      </c>
    </row>
    <row r="6" spans="1:11" s="204" customFormat="1" x14ac:dyDescent="0.2">
      <c r="A6" s="197"/>
      <c r="B6" s="198"/>
      <c r="C6" s="371" t="s">
        <v>185</v>
      </c>
      <c r="D6" s="196" t="s">
        <v>621</v>
      </c>
      <c r="E6" s="371" t="s">
        <v>620</v>
      </c>
      <c r="F6" s="196" t="s">
        <v>619</v>
      </c>
      <c r="G6" s="196" t="s">
        <v>219</v>
      </c>
      <c r="H6" s="196" t="s">
        <v>53</v>
      </c>
      <c r="I6" s="196" t="s">
        <v>53</v>
      </c>
      <c r="J6" s="196" t="s">
        <v>52</v>
      </c>
      <c r="K6" s="196" t="s">
        <v>52</v>
      </c>
    </row>
    <row r="7" spans="1:11" s="204" customFormat="1" x14ac:dyDescent="0.2">
      <c r="A7" s="201" t="s">
        <v>618</v>
      </c>
      <c r="B7" s="202" t="s">
        <v>617</v>
      </c>
      <c r="C7" s="834" t="s">
        <v>942</v>
      </c>
      <c r="D7" s="199" t="s">
        <v>56</v>
      </c>
      <c r="E7" s="372" t="s">
        <v>0</v>
      </c>
      <c r="F7" s="199" t="s">
        <v>616</v>
      </c>
      <c r="G7" s="199" t="s">
        <v>616</v>
      </c>
      <c r="H7" s="199" t="s">
        <v>48</v>
      </c>
      <c r="I7" s="199" t="s">
        <v>48</v>
      </c>
      <c r="J7" s="199" t="s">
        <v>48</v>
      </c>
      <c r="K7" s="199" t="s">
        <v>48</v>
      </c>
    </row>
    <row r="8" spans="1:11" x14ac:dyDescent="0.2">
      <c r="A8" s="205"/>
      <c r="B8" s="206" t="s">
        <v>1</v>
      </c>
      <c r="C8" s="373"/>
      <c r="D8" s="206"/>
      <c r="E8" s="835">
        <v>2011</v>
      </c>
      <c r="F8" s="206"/>
      <c r="G8" s="206"/>
      <c r="H8" s="206"/>
      <c r="I8" s="206"/>
      <c r="J8" s="206"/>
      <c r="K8" s="206"/>
    </row>
    <row r="9" spans="1:11" x14ac:dyDescent="0.2">
      <c r="A9" s="209"/>
      <c r="B9" s="210"/>
      <c r="E9" s="375"/>
      <c r="F9" s="210"/>
      <c r="G9" s="210"/>
      <c r="H9" s="210"/>
      <c r="I9" s="210"/>
      <c r="J9" s="210"/>
      <c r="K9" s="210"/>
    </row>
    <row r="10" spans="1:11" ht="12" thickBot="1" x14ac:dyDescent="0.25">
      <c r="A10" s="211"/>
      <c r="B10" s="212" t="s">
        <v>615</v>
      </c>
      <c r="C10" s="376"/>
      <c r="D10" s="377"/>
      <c r="E10" s="378"/>
      <c r="F10" s="379"/>
      <c r="G10" s="379"/>
      <c r="H10" s="379"/>
      <c r="I10" s="379"/>
      <c r="J10" s="379"/>
      <c r="K10" s="379"/>
    </row>
    <row r="11" spans="1:11" x14ac:dyDescent="0.2">
      <c r="A11" s="836" t="s">
        <v>614</v>
      </c>
      <c r="B11" s="837" t="s">
        <v>613</v>
      </c>
      <c r="C11" s="245">
        <f>F11*$C$16</f>
        <v>2272793.725479438</v>
      </c>
      <c r="D11" s="374">
        <f>C11/12</f>
        <v>189399.47712328649</v>
      </c>
      <c r="E11" s="838">
        <v>1293547.06</v>
      </c>
      <c r="F11" s="381">
        <f>G11</f>
        <v>0.70456325614663862</v>
      </c>
      <c r="G11" s="381">
        <f>E11/$E$16</f>
        <v>0.70456325614663862</v>
      </c>
      <c r="H11" s="381">
        <f>C11/$C$131</f>
        <v>0.98283508324314284</v>
      </c>
      <c r="I11" s="381">
        <f>E11/$E$131</f>
        <v>0.97667603534331726</v>
      </c>
      <c r="J11" s="381">
        <f>C11/$C$28</f>
        <v>0.52359202949404515</v>
      </c>
      <c r="K11" s="381">
        <f>E11/$E$28</f>
        <v>0.53483319610168534</v>
      </c>
    </row>
    <row r="12" spans="1:11" x14ac:dyDescent="0.2">
      <c r="A12" s="836" t="s">
        <v>612</v>
      </c>
      <c r="B12" s="837" t="s">
        <v>611</v>
      </c>
      <c r="C12" s="245">
        <f>F12*$C$16</f>
        <v>947808.05616830976</v>
      </c>
      <c r="D12" s="374">
        <f>C12/12</f>
        <v>78984.00468069248</v>
      </c>
      <c r="E12" s="838">
        <v>539439.32999999996</v>
      </c>
      <c r="F12" s="381">
        <f>G12</f>
        <v>0.29381933026724294</v>
      </c>
      <c r="G12" s="381">
        <f>E12/$E$16</f>
        <v>0.29381933026724294</v>
      </c>
      <c r="H12" s="381">
        <f>C12/$C$131</f>
        <v>0.40986518016992379</v>
      </c>
      <c r="I12" s="381">
        <f>E12/$E$131</f>
        <v>0.4072967133740425</v>
      </c>
      <c r="J12" s="381">
        <f>C12/$C$28</f>
        <v>0.21835010284326878</v>
      </c>
      <c r="K12" s="381">
        <f>E12/$E$28</f>
        <v>0.22303793181428724</v>
      </c>
    </row>
    <row r="13" spans="1:11" x14ac:dyDescent="0.2">
      <c r="A13" s="836" t="s">
        <v>610</v>
      </c>
      <c r="B13" s="837" t="s">
        <v>609</v>
      </c>
      <c r="C13" s="245">
        <f>F13*$C$16</f>
        <v>4331.0651050506149</v>
      </c>
      <c r="D13" s="374">
        <f>C13/12</f>
        <v>360.92209208755122</v>
      </c>
      <c r="E13" s="838">
        <v>2465</v>
      </c>
      <c r="F13" s="381">
        <f>G13</f>
        <v>1.3426248492277228E-3</v>
      </c>
      <c r="G13" s="381">
        <f>E13/$E$16</f>
        <v>1.3426248492277228E-3</v>
      </c>
      <c r="H13" s="381">
        <f>C13/$C$131</f>
        <v>1.8729032403307746E-3</v>
      </c>
      <c r="I13" s="381">
        <f>E13/$E$131</f>
        <v>1.8611664790311355E-3</v>
      </c>
      <c r="J13" s="381">
        <f>C13/$C$28</f>
        <v>9.9776374019420761E-4</v>
      </c>
      <c r="K13" s="381">
        <f>E13/$E$28</f>
        <v>1.0191850526030761E-3</v>
      </c>
    </row>
    <row r="14" spans="1:11" ht="12" thickBot="1" x14ac:dyDescent="0.25">
      <c r="A14" s="836" t="s">
        <v>885</v>
      </c>
      <c r="B14" s="837" t="s">
        <v>534</v>
      </c>
      <c r="C14" s="382">
        <f>F14*$C$16</f>
        <v>886.41880141908132</v>
      </c>
      <c r="D14" s="377">
        <f>C14/12</f>
        <v>73.868233451590115</v>
      </c>
      <c r="E14" s="840">
        <v>504.5</v>
      </c>
      <c r="F14" s="381">
        <f>G14</f>
        <v>2.7478873689062321E-4</v>
      </c>
      <c r="G14" s="381">
        <f>E14/$E$16</f>
        <v>2.7478873689062321E-4</v>
      </c>
      <c r="H14" s="381">
        <f>C14/$C$131</f>
        <v>3.8331833052611598E-4</v>
      </c>
      <c r="I14" s="381">
        <f>E14/$E$131</f>
        <v>3.8091622258466849E-4</v>
      </c>
      <c r="J14" s="381">
        <f>C14/$C$28</f>
        <v>2.0420762958538654E-4</v>
      </c>
      <c r="K14" s="381">
        <f>E14/$E$28</f>
        <v>2.0859182922444293E-4</v>
      </c>
    </row>
    <row r="15" spans="1:11" x14ac:dyDescent="0.2">
      <c r="A15" s="220"/>
      <c r="B15" s="221"/>
      <c r="C15" s="245"/>
      <c r="E15" s="380"/>
      <c r="F15" s="221"/>
      <c r="G15" s="221"/>
      <c r="H15" s="221"/>
      <c r="I15" s="221"/>
      <c r="J15" s="221"/>
      <c r="K15" s="221"/>
    </row>
    <row r="16" spans="1:11" ht="12" thickBot="1" x14ac:dyDescent="0.25">
      <c r="B16" s="222" t="s">
        <v>608</v>
      </c>
      <c r="C16" s="382">
        <f>C28-C23-C26</f>
        <v>3225819.2655542176</v>
      </c>
      <c r="D16" s="377">
        <f>C16/12</f>
        <v>268818.27212951815</v>
      </c>
      <c r="E16" s="384">
        <f t="shared" ref="E16" si="0">SUM(E11:E14)</f>
        <v>1835955.8900000001</v>
      </c>
      <c r="F16" s="381">
        <f>SUM(F10:F15)</f>
        <v>0.99999999999999989</v>
      </c>
      <c r="G16" s="381">
        <f>E16/$E$16</f>
        <v>1</v>
      </c>
      <c r="H16" s="381">
        <f>C16/$C$131</f>
        <v>1.3949564849839236</v>
      </c>
      <c r="I16" s="381">
        <f>E16/$E$131</f>
        <v>1.3862148314189757</v>
      </c>
      <c r="J16" s="381">
        <f>J28-J23</f>
        <v>0.74314410370709361</v>
      </c>
      <c r="K16" s="381">
        <f>E16/$E$28</f>
        <v>0.75909890479780018</v>
      </c>
    </row>
    <row r="17" spans="1:15" x14ac:dyDescent="0.2">
      <c r="A17" s="220"/>
      <c r="B17" s="221"/>
      <c r="C17" s="245"/>
      <c r="E17" s="380"/>
      <c r="F17" s="221"/>
      <c r="G17" s="221"/>
      <c r="H17" s="221"/>
      <c r="I17" s="221"/>
      <c r="J17" s="221"/>
      <c r="K17" s="221"/>
    </row>
    <row r="18" spans="1:15" x14ac:dyDescent="0.2">
      <c r="C18" s="245"/>
      <c r="E18" s="380"/>
    </row>
    <row r="19" spans="1:15" ht="12" thickBot="1" x14ac:dyDescent="0.25">
      <c r="A19" s="211"/>
      <c r="B19" s="212" t="s">
        <v>607</v>
      </c>
      <c r="C19" s="382"/>
      <c r="D19" s="377"/>
      <c r="E19" s="383"/>
      <c r="F19" s="379"/>
      <c r="G19" s="379"/>
      <c r="H19" s="379"/>
      <c r="I19" s="379"/>
      <c r="J19" s="379"/>
      <c r="K19" s="379"/>
    </row>
    <row r="20" spans="1:15" x14ac:dyDescent="0.2">
      <c r="A20" s="836" t="s">
        <v>606</v>
      </c>
      <c r="B20" s="837" t="s">
        <v>605</v>
      </c>
      <c r="C20" s="245">
        <f>C23*F20</f>
        <v>1022377.6057909128</v>
      </c>
      <c r="D20" s="374">
        <f>C20/12</f>
        <v>85198.133815909401</v>
      </c>
      <c r="E20" s="838">
        <v>587794.9</v>
      </c>
      <c r="F20" s="381">
        <f>G45</f>
        <v>0.91696929503737767</v>
      </c>
      <c r="G20" s="381">
        <f>E20/$E$23</f>
        <v>0.92048549312924755</v>
      </c>
      <c r="H20" s="381">
        <f>C20/$C$131</f>
        <v>0.44211164789337482</v>
      </c>
      <c r="I20" s="381">
        <f>E20/$E$131</f>
        <v>0.44380696325576408</v>
      </c>
      <c r="J20" s="381">
        <f>C20/$C$28</f>
        <v>0.23552897014990015</v>
      </c>
      <c r="K20" s="381">
        <f>E20/$E$28</f>
        <v>0.24303114648126564</v>
      </c>
    </row>
    <row r="21" spans="1:15" ht="12" thickBot="1" x14ac:dyDescent="0.25">
      <c r="A21" s="839" t="s">
        <v>604</v>
      </c>
      <c r="B21" s="837" t="s">
        <v>603</v>
      </c>
      <c r="C21" s="382">
        <f>C23*F21</f>
        <v>92575.328101206615</v>
      </c>
      <c r="D21" s="377">
        <f>C21/12</f>
        <v>7714.6106751005509</v>
      </c>
      <c r="E21" s="840">
        <v>50775.62</v>
      </c>
      <c r="F21" s="381">
        <f>G74</f>
        <v>8.3030704962622229E-2</v>
      </c>
      <c r="G21" s="381">
        <f>E21/$E$23</f>
        <v>7.951450687075251E-2</v>
      </c>
      <c r="H21" s="381">
        <f>C21/$C$131</f>
        <v>4.0032792804994839E-2</v>
      </c>
      <c r="I21" s="381">
        <f>E21/$E$131</f>
        <v>3.8337477442605641E-2</v>
      </c>
      <c r="J21" s="381">
        <f>C21/$C$28</f>
        <v>2.13269261430062E-2</v>
      </c>
      <c r="K21" s="381">
        <f>E21/$E$28</f>
        <v>2.0993814580386939E-2</v>
      </c>
    </row>
    <row r="22" spans="1:15" x14ac:dyDescent="0.2">
      <c r="A22" s="220"/>
      <c r="B22" s="221"/>
      <c r="C22" s="245"/>
      <c r="E22" s="380"/>
      <c r="F22" s="221"/>
      <c r="G22" s="221"/>
      <c r="H22" s="221"/>
      <c r="I22" s="221"/>
      <c r="J22" s="221"/>
      <c r="K22" s="221"/>
    </row>
    <row r="23" spans="1:15" ht="12" thickBot="1" x14ac:dyDescent="0.25">
      <c r="A23" s="222" t="s">
        <v>602</v>
      </c>
      <c r="C23" s="382">
        <f>C131*H23</f>
        <v>1114952.9338921194</v>
      </c>
      <c r="D23" s="377">
        <f>C23/12</f>
        <v>92912.744491009958</v>
      </c>
      <c r="E23" s="384">
        <f t="shared" ref="E23" si="1">SUM(E20:E21)</f>
        <v>638570.52</v>
      </c>
      <c r="F23" s="381">
        <f>SUM(F20:F21)</f>
        <v>0.99999999999999989</v>
      </c>
      <c r="G23" s="381">
        <f>E23/$E$23</f>
        <v>1</v>
      </c>
      <c r="H23" s="381">
        <f>I23</f>
        <v>0.4821444406983697</v>
      </c>
      <c r="I23" s="381">
        <f>E23/$E$131</f>
        <v>0.4821444406983697</v>
      </c>
      <c r="J23" s="381">
        <f>C23/$C$28</f>
        <v>0.25685589629290634</v>
      </c>
      <c r="K23" s="381">
        <f>E23/$E$28</f>
        <v>0.26402496106165257</v>
      </c>
    </row>
    <row r="24" spans="1:15" x14ac:dyDescent="0.2">
      <c r="A24" s="220"/>
      <c r="B24" s="221"/>
      <c r="C24" s="245"/>
      <c r="E24" s="380"/>
      <c r="F24" s="221"/>
      <c r="G24" s="221"/>
      <c r="H24" s="221"/>
      <c r="I24" s="221"/>
      <c r="J24" s="221"/>
      <c r="K24" s="221"/>
    </row>
    <row r="25" spans="1:15" x14ac:dyDescent="0.2">
      <c r="C25" s="245"/>
      <c r="E25" s="380"/>
    </row>
    <row r="26" spans="1:15" ht="12" thickBot="1" x14ac:dyDescent="0.25">
      <c r="A26" s="836" t="s">
        <v>601</v>
      </c>
      <c r="B26" s="837" t="s">
        <v>205</v>
      </c>
      <c r="C26" s="382">
        <v>0</v>
      </c>
      <c r="D26" s="377">
        <f>C26/12</f>
        <v>0</v>
      </c>
      <c r="E26" s="840">
        <v>-55927.360000000001</v>
      </c>
      <c r="F26" s="213"/>
      <c r="G26" s="213"/>
      <c r="H26" s="385">
        <f>C26/$C$131</f>
        <v>0</v>
      </c>
      <c r="I26" s="385">
        <f>E26/$E$131</f>
        <v>-4.2227232329698487E-2</v>
      </c>
      <c r="J26" s="385">
        <f>C26/$C$28</f>
        <v>0</v>
      </c>
      <c r="K26" s="385">
        <f>E26/$E$28</f>
        <v>-2.3123865859452808E-2</v>
      </c>
    </row>
    <row r="27" spans="1:15" x14ac:dyDescent="0.2">
      <c r="C27" s="245"/>
      <c r="E27" s="380"/>
      <c r="J27" s="386"/>
    </row>
    <row r="28" spans="1:15" ht="12" thickBot="1" x14ac:dyDescent="0.25">
      <c r="A28" s="228"/>
      <c r="B28" s="229" t="s">
        <v>39</v>
      </c>
      <c r="C28" s="387">
        <f>C78+C76</f>
        <v>4340772.1994463373</v>
      </c>
      <c r="D28" s="388">
        <f>C28/12</f>
        <v>361731.01662052813</v>
      </c>
      <c r="E28" s="389">
        <f t="shared" ref="E28" si="2">E26+E23+E16</f>
        <v>2418599.0500000003</v>
      </c>
      <c r="F28" s="287"/>
      <c r="G28" s="287"/>
      <c r="H28" s="390">
        <f>C28/$C$131</f>
        <v>1.8771009256822935</v>
      </c>
      <c r="I28" s="390">
        <f>E28/$E$131</f>
        <v>1.826132039787647</v>
      </c>
      <c r="J28" s="385">
        <f>C28/$C$28</f>
        <v>1</v>
      </c>
      <c r="K28" s="390">
        <f>E28/$E$28</f>
        <v>1</v>
      </c>
      <c r="O28" s="847"/>
    </row>
    <row r="29" spans="1:15" ht="12" thickTop="1" x14ac:dyDescent="0.2">
      <c r="B29" s="231"/>
      <c r="C29" s="245"/>
      <c r="E29" s="380"/>
      <c r="J29" s="231"/>
      <c r="K29" s="231"/>
    </row>
    <row r="30" spans="1:15" x14ac:dyDescent="0.2">
      <c r="B30" s="222" t="s">
        <v>600</v>
      </c>
      <c r="C30" s="245"/>
      <c r="E30" s="391"/>
    </row>
    <row r="31" spans="1:15" ht="12" thickBot="1" x14ac:dyDescent="0.25">
      <c r="A31" s="211"/>
      <c r="B31" s="212" t="s">
        <v>599</v>
      </c>
      <c r="C31" s="382"/>
      <c r="D31" s="377"/>
      <c r="E31" s="383"/>
      <c r="F31" s="379"/>
      <c r="G31" s="379"/>
      <c r="H31" s="379"/>
      <c r="I31" s="379"/>
      <c r="J31" s="379"/>
      <c r="K31" s="379"/>
    </row>
    <row r="32" spans="1:15" x14ac:dyDescent="0.2">
      <c r="A32" s="836" t="s">
        <v>598</v>
      </c>
      <c r="B32" s="837" t="s">
        <v>554</v>
      </c>
      <c r="C32" s="245">
        <f t="shared" ref="C32:C43" si="3">F32*$C$45</f>
        <v>33370.633621163426</v>
      </c>
      <c r="D32" s="374">
        <f t="shared" ref="D32:D43" si="4">C32/12</f>
        <v>2780.8861350969523</v>
      </c>
      <c r="E32" s="838">
        <v>16812.5</v>
      </c>
      <c r="F32" s="381">
        <f t="shared" ref="F32:F43" si="5">E32/$E$45</f>
        <v>3.2640223565292059E-2</v>
      </c>
      <c r="H32" s="381">
        <f t="shared" ref="H32:H43" si="6">C32/$C$131</f>
        <v>1.4430623028059439E-2</v>
      </c>
      <c r="I32" s="381">
        <f t="shared" ref="I32:I43" si="7">E32/$E$131</f>
        <v>1.2694061431525747E-2</v>
      </c>
      <c r="J32" s="381">
        <f t="shared" ref="J32:J43" si="8">C32/$C$28</f>
        <v>7.6877182417957411E-3</v>
      </c>
      <c r="K32" s="381">
        <f t="shared" ref="K32:K43" si="9">E32/$E$28</f>
        <v>6.9513382137481603E-3</v>
      </c>
    </row>
    <row r="33" spans="1:11" x14ac:dyDescent="0.2">
      <c r="A33" s="836" t="s">
        <v>597</v>
      </c>
      <c r="B33" s="837" t="s">
        <v>552</v>
      </c>
      <c r="C33" s="245">
        <f t="shared" si="3"/>
        <v>0</v>
      </c>
      <c r="D33" s="374">
        <f t="shared" si="4"/>
        <v>0</v>
      </c>
      <c r="E33" s="838">
        <v>0</v>
      </c>
      <c r="F33" s="381">
        <f t="shared" si="5"/>
        <v>0</v>
      </c>
      <c r="H33" s="381">
        <f t="shared" si="6"/>
        <v>0</v>
      </c>
      <c r="I33" s="381">
        <f t="shared" si="7"/>
        <v>0</v>
      </c>
      <c r="J33" s="381">
        <f t="shared" si="8"/>
        <v>0</v>
      </c>
      <c r="K33" s="381">
        <f t="shared" si="9"/>
        <v>0</v>
      </c>
    </row>
    <row r="34" spans="1:11" x14ac:dyDescent="0.2">
      <c r="A34" s="836" t="s">
        <v>596</v>
      </c>
      <c r="B34" s="837" t="s">
        <v>550</v>
      </c>
      <c r="C34" s="245">
        <f t="shared" si="3"/>
        <v>199000.62534220479</v>
      </c>
      <c r="D34" s="374">
        <f t="shared" si="4"/>
        <v>16583.385445183732</v>
      </c>
      <c r="E34" s="838">
        <v>100258.75</v>
      </c>
      <c r="F34" s="381">
        <f t="shared" si="5"/>
        <v>0.19464493765809515</v>
      </c>
      <c r="H34" s="381">
        <f t="shared" si="6"/>
        <v>8.605479414212365E-2</v>
      </c>
      <c r="I34" s="381">
        <f t="shared" si="7"/>
        <v>7.5699076969396692E-2</v>
      </c>
      <c r="J34" s="381">
        <f t="shared" si="8"/>
        <v>4.5844521711502668E-2</v>
      </c>
      <c r="K34" s="381">
        <f t="shared" si="9"/>
        <v>4.1453233019338197E-2</v>
      </c>
    </row>
    <row r="35" spans="1:11" x14ac:dyDescent="0.2">
      <c r="A35" s="836" t="s">
        <v>595</v>
      </c>
      <c r="B35" s="837" t="s">
        <v>548</v>
      </c>
      <c r="C35" s="245">
        <f t="shared" si="3"/>
        <v>696998.73380164779</v>
      </c>
      <c r="D35" s="374">
        <f t="shared" si="4"/>
        <v>58083.227816803985</v>
      </c>
      <c r="E35" s="838">
        <v>351155.79</v>
      </c>
      <c r="F35" s="381">
        <f t="shared" si="5"/>
        <v>0.68174295862285494</v>
      </c>
      <c r="H35" s="381">
        <f t="shared" si="6"/>
        <v>0.30140650287645526</v>
      </c>
      <c r="I35" s="381">
        <f t="shared" si="7"/>
        <v>0.26513565325180399</v>
      </c>
      <c r="J35" s="381">
        <f t="shared" si="8"/>
        <v>0.16057021695138701</v>
      </c>
      <c r="K35" s="381">
        <f t="shared" si="9"/>
        <v>0.14518974941299176</v>
      </c>
    </row>
    <row r="36" spans="1:11" x14ac:dyDescent="0.2">
      <c r="A36" s="836" t="s">
        <v>594</v>
      </c>
      <c r="B36" s="837" t="s">
        <v>546</v>
      </c>
      <c r="C36" s="245">
        <f t="shared" si="3"/>
        <v>3416.2398424225557</v>
      </c>
      <c r="D36" s="374">
        <f t="shared" si="4"/>
        <v>284.686653535213</v>
      </c>
      <c r="E36" s="838">
        <v>1721.14</v>
      </c>
      <c r="F36" s="381">
        <f t="shared" si="5"/>
        <v>3.341465837154901E-3</v>
      </c>
      <c r="H36" s="381">
        <f t="shared" si="6"/>
        <v>1.4773009676439686E-3</v>
      </c>
      <c r="I36" s="381">
        <f t="shared" si="7"/>
        <v>1.2995245735170989E-3</v>
      </c>
      <c r="J36" s="381">
        <f t="shared" si="8"/>
        <v>7.8701200741616774E-4</v>
      </c>
      <c r="K36" s="381">
        <f t="shared" si="9"/>
        <v>7.1162684033965857E-4</v>
      </c>
    </row>
    <row r="37" spans="1:11" x14ac:dyDescent="0.2">
      <c r="A37" s="836" t="s">
        <v>593</v>
      </c>
      <c r="B37" s="837" t="s">
        <v>592</v>
      </c>
      <c r="C37" s="245">
        <f t="shared" si="3"/>
        <v>0</v>
      </c>
      <c r="D37" s="374">
        <f t="shared" si="4"/>
        <v>0</v>
      </c>
      <c r="E37" s="838">
        <v>0</v>
      </c>
      <c r="F37" s="381">
        <f t="shared" si="5"/>
        <v>0</v>
      </c>
      <c r="H37" s="381">
        <f t="shared" si="6"/>
        <v>0</v>
      </c>
      <c r="I37" s="381">
        <f t="shared" si="7"/>
        <v>0</v>
      </c>
      <c r="J37" s="381">
        <f t="shared" si="8"/>
        <v>0</v>
      </c>
      <c r="K37" s="381">
        <f t="shared" si="9"/>
        <v>0</v>
      </c>
    </row>
    <row r="38" spans="1:11" x14ac:dyDescent="0.2">
      <c r="A38" s="836" t="s">
        <v>591</v>
      </c>
      <c r="B38" s="837" t="s">
        <v>542</v>
      </c>
      <c r="C38" s="245">
        <f t="shared" si="3"/>
        <v>4555.2775708889249</v>
      </c>
      <c r="D38" s="374">
        <f t="shared" si="4"/>
        <v>379.60646424074372</v>
      </c>
      <c r="E38" s="838">
        <v>2295</v>
      </c>
      <c r="F38" s="381">
        <f t="shared" si="5"/>
        <v>4.4555725253439564E-3</v>
      </c>
      <c r="H38" s="381">
        <f t="shared" si="6"/>
        <v>1.9698605114882618E-3</v>
      </c>
      <c r="I38" s="381">
        <f t="shared" si="7"/>
        <v>1.7328101701324366E-3</v>
      </c>
      <c r="J38" s="381">
        <f t="shared" si="8"/>
        <v>1.0494164083224519E-3</v>
      </c>
      <c r="K38" s="381">
        <f t="shared" si="9"/>
        <v>9.4889642828562253E-4</v>
      </c>
    </row>
    <row r="39" spans="1:11" x14ac:dyDescent="0.2">
      <c r="A39" s="836" t="s">
        <v>590</v>
      </c>
      <c r="B39" s="837" t="s">
        <v>540</v>
      </c>
      <c r="C39" s="245">
        <f t="shared" si="3"/>
        <v>778.34707914962223</v>
      </c>
      <c r="D39" s="374">
        <f t="shared" si="4"/>
        <v>64.862256595801853</v>
      </c>
      <c r="E39" s="838">
        <v>392.14</v>
      </c>
      <c r="F39" s="381">
        <f t="shared" si="5"/>
        <v>7.6131076692304098E-4</v>
      </c>
      <c r="H39" s="381">
        <f t="shared" si="6"/>
        <v>3.3658435772331464E-4</v>
      </c>
      <c r="I39" s="381">
        <f t="shared" si="7"/>
        <v>2.9608025277374014E-4</v>
      </c>
      <c r="J39" s="381">
        <f t="shared" si="8"/>
        <v>1.7931074089741451E-4</v>
      </c>
      <c r="K39" s="381">
        <f t="shared" si="9"/>
        <v>1.6213518317556602E-4</v>
      </c>
    </row>
    <row r="40" spans="1:11" x14ac:dyDescent="0.2">
      <c r="A40" s="836" t="s">
        <v>589</v>
      </c>
      <c r="B40" s="837" t="s">
        <v>538</v>
      </c>
      <c r="C40" s="245">
        <f t="shared" si="3"/>
        <v>81895.752755937719</v>
      </c>
      <c r="D40" s="374">
        <f t="shared" si="4"/>
        <v>6824.6460629948097</v>
      </c>
      <c r="E40" s="838">
        <v>41260</v>
      </c>
      <c r="F40" s="381">
        <f t="shared" si="5"/>
        <v>8.010323415934277E-2</v>
      </c>
      <c r="H40" s="381">
        <f t="shared" si="6"/>
        <v>3.5414572855775907E-2</v>
      </c>
      <c r="I40" s="381">
        <f t="shared" si="7"/>
        <v>3.1152831206825417E-2</v>
      </c>
      <c r="J40" s="381">
        <f t="shared" si="8"/>
        <v>1.8866632247226303E-2</v>
      </c>
      <c r="K40" s="381">
        <f t="shared" si="9"/>
        <v>1.7059462584341954E-2</v>
      </c>
    </row>
    <row r="41" spans="1:11" x14ac:dyDescent="0.2">
      <c r="A41" s="836" t="s">
        <v>588</v>
      </c>
      <c r="B41" s="837" t="s">
        <v>536</v>
      </c>
      <c r="C41" s="245">
        <f t="shared" si="3"/>
        <v>0</v>
      </c>
      <c r="D41" s="374">
        <f t="shared" si="4"/>
        <v>0</v>
      </c>
      <c r="E41" s="838">
        <v>0</v>
      </c>
      <c r="F41" s="381">
        <f t="shared" si="5"/>
        <v>0</v>
      </c>
      <c r="H41" s="381">
        <f t="shared" si="6"/>
        <v>0</v>
      </c>
      <c r="I41" s="381">
        <f t="shared" si="7"/>
        <v>0</v>
      </c>
      <c r="J41" s="381">
        <f t="shared" si="8"/>
        <v>0</v>
      </c>
      <c r="K41" s="381">
        <f t="shared" si="9"/>
        <v>0</v>
      </c>
    </row>
    <row r="42" spans="1:11" x14ac:dyDescent="0.2">
      <c r="A42" s="836" t="s">
        <v>587</v>
      </c>
      <c r="B42" s="837" t="s">
        <v>534</v>
      </c>
      <c r="C42" s="232">
        <f t="shared" si="3"/>
        <v>2361.9957774979612</v>
      </c>
      <c r="D42" s="392">
        <f t="shared" si="4"/>
        <v>196.83298145816343</v>
      </c>
      <c r="E42" s="838">
        <v>1190</v>
      </c>
      <c r="F42" s="381">
        <f t="shared" si="5"/>
        <v>2.3102968649931625E-3</v>
      </c>
      <c r="H42" s="381">
        <f t="shared" si="6"/>
        <v>1.0214091541050248E-3</v>
      </c>
      <c r="I42" s="381">
        <f t="shared" si="7"/>
        <v>8.9849416229089297E-4</v>
      </c>
      <c r="J42" s="381">
        <f t="shared" si="8"/>
        <v>5.4414184135238245E-4</v>
      </c>
      <c r="K42" s="381">
        <f t="shared" si="9"/>
        <v>4.9202037022217466E-4</v>
      </c>
    </row>
    <row r="43" spans="1:11" x14ac:dyDescent="0.2">
      <c r="A43" s="836" t="s">
        <v>586</v>
      </c>
      <c r="B43" s="837" t="s">
        <v>530</v>
      </c>
      <c r="C43" s="232">
        <f t="shared" si="3"/>
        <v>0</v>
      </c>
      <c r="D43" s="392">
        <f t="shared" si="4"/>
        <v>0</v>
      </c>
      <c r="E43" s="838">
        <v>0</v>
      </c>
      <c r="F43" s="386">
        <f t="shared" si="5"/>
        <v>0</v>
      </c>
      <c r="G43" s="204"/>
      <c r="H43" s="386">
        <f t="shared" si="6"/>
        <v>0</v>
      </c>
      <c r="I43" s="386">
        <f t="shared" si="7"/>
        <v>0</v>
      </c>
      <c r="J43" s="386">
        <f t="shared" si="8"/>
        <v>0</v>
      </c>
      <c r="K43" s="386">
        <f t="shared" si="9"/>
        <v>0</v>
      </c>
    </row>
    <row r="44" spans="1:11" x14ac:dyDescent="0.2">
      <c r="A44" s="209"/>
      <c r="B44" s="210"/>
      <c r="C44" s="245"/>
      <c r="E44" s="380"/>
      <c r="F44" s="210"/>
      <c r="G44" s="210"/>
      <c r="H44" s="210"/>
      <c r="I44" s="210"/>
      <c r="J44" s="210"/>
      <c r="K44" s="210"/>
    </row>
    <row r="45" spans="1:11" ht="12" thickBot="1" x14ac:dyDescent="0.25">
      <c r="A45" s="236"/>
      <c r="B45" s="394" t="s">
        <v>585</v>
      </c>
      <c r="C45" s="395">
        <f>C20/Markup_reimb_consultant</f>
        <v>1022377.6057909128</v>
      </c>
      <c r="D45" s="396">
        <f>C45/12</f>
        <v>85198.133815909401</v>
      </c>
      <c r="E45" s="397">
        <f t="shared" ref="E45" si="10">SUM(E31:E44)</f>
        <v>515085.32</v>
      </c>
      <c r="F45" s="398">
        <f>SUM(F31:F44)</f>
        <v>1</v>
      </c>
      <c r="G45" s="398">
        <f>E45/$E$76</f>
        <v>0.91696929503737767</v>
      </c>
      <c r="H45" s="398">
        <f>SUM(H31:H44)</f>
        <v>0.44211164789337487</v>
      </c>
      <c r="I45" s="398">
        <f>E45/$E$131</f>
        <v>0.38890853201826603</v>
      </c>
      <c r="J45" s="398">
        <f>C45/$C$28</f>
        <v>0.23552897014990015</v>
      </c>
      <c r="K45" s="398">
        <f>E45/$E$28</f>
        <v>0.2129684620524431</v>
      </c>
    </row>
    <row r="46" spans="1:11" s="204" customFormat="1" x14ac:dyDescent="0.2">
      <c r="A46" s="239"/>
      <c r="C46" s="232"/>
      <c r="D46" s="392"/>
      <c r="E46" s="380"/>
    </row>
    <row r="47" spans="1:11" x14ac:dyDescent="0.2">
      <c r="A47" s="239"/>
      <c r="B47" s="240" t="s">
        <v>943</v>
      </c>
      <c r="C47" s="232"/>
      <c r="D47" s="392"/>
      <c r="E47" s="393"/>
      <c r="F47" s="210"/>
      <c r="G47" s="210"/>
      <c r="H47" s="210"/>
      <c r="I47" s="210"/>
      <c r="J47" s="210"/>
      <c r="K47" s="210"/>
    </row>
    <row r="48" spans="1:11" x14ac:dyDescent="0.2">
      <c r="A48" s="836" t="s">
        <v>584</v>
      </c>
      <c r="B48" s="837" t="s">
        <v>433</v>
      </c>
      <c r="C48" s="245">
        <f t="shared" ref="C48:C56" si="11">F48*$C$74</f>
        <v>5177.2565598273795</v>
      </c>
      <c r="D48" s="374">
        <f t="shared" ref="D48:D56" si="12">C48/12</f>
        <v>431.43804665228163</v>
      </c>
      <c r="E48" s="838">
        <v>2608.36</v>
      </c>
      <c r="F48" s="381">
        <f t="shared" ref="F48:F56" si="13">E48/$E$74</f>
        <v>5.5924798388696177E-2</v>
      </c>
      <c r="H48" s="381">
        <f t="shared" ref="H48:H56" si="14">C48/$C$131</f>
        <v>2.2388258665557836E-3</v>
      </c>
      <c r="I48" s="381">
        <f t="shared" ref="I48:I56" si="15">E48/$E$131</f>
        <v>1.9694085992882971E-3</v>
      </c>
      <c r="J48" s="381">
        <f t="shared" ref="J48:J56" si="16">C48/$C$28</f>
        <v>1.1927040447982356E-3</v>
      </c>
      <c r="K48" s="381">
        <f t="shared" ref="K48:K56" si="17">E48/$E$28</f>
        <v>1.0784590360274886E-3</v>
      </c>
    </row>
    <row r="49" spans="1:11" x14ac:dyDescent="0.2">
      <c r="A49" s="836" t="s">
        <v>583</v>
      </c>
      <c r="B49" s="837" t="s">
        <v>582</v>
      </c>
      <c r="C49" s="245">
        <f t="shared" si="11"/>
        <v>235.62396533343104</v>
      </c>
      <c r="D49" s="374">
        <f t="shared" si="12"/>
        <v>19.635330444452588</v>
      </c>
      <c r="E49" s="838">
        <v>118.71</v>
      </c>
      <c r="F49" s="381">
        <f t="shared" si="13"/>
        <v>2.5452133972005868E-3</v>
      </c>
      <c r="H49" s="381">
        <f t="shared" si="14"/>
        <v>1.0189200057462813E-4</v>
      </c>
      <c r="I49" s="381">
        <f t="shared" si="15"/>
        <v>8.9630455466850332E-5</v>
      </c>
      <c r="J49" s="381">
        <f t="shared" si="16"/>
        <v>5.4281578140286822E-5</v>
      </c>
      <c r="K49" s="381">
        <f t="shared" si="17"/>
        <v>4.9082132898381802E-5</v>
      </c>
    </row>
    <row r="50" spans="1:11" x14ac:dyDescent="0.2">
      <c r="A50" s="836" t="s">
        <v>581</v>
      </c>
      <c r="B50" s="837" t="s">
        <v>429</v>
      </c>
      <c r="C50" s="245">
        <f t="shared" si="11"/>
        <v>10481.505127927296</v>
      </c>
      <c r="D50" s="374">
        <f t="shared" si="12"/>
        <v>873.45876066060794</v>
      </c>
      <c r="E50" s="838">
        <v>5280.7</v>
      </c>
      <c r="F50" s="381">
        <f t="shared" si="13"/>
        <v>0.1132213662420785</v>
      </c>
      <c r="H50" s="381">
        <f t="shared" si="14"/>
        <v>4.5325674958675661E-3</v>
      </c>
      <c r="I50" s="381">
        <f t="shared" si="15"/>
        <v>3.9871244729491754E-3</v>
      </c>
      <c r="J50" s="381">
        <f t="shared" si="16"/>
        <v>2.4146637156550635E-3</v>
      </c>
      <c r="K50" s="381">
        <f t="shared" si="17"/>
        <v>2.1833714025480989E-3</v>
      </c>
    </row>
    <row r="51" spans="1:11" x14ac:dyDescent="0.2">
      <c r="A51" s="836" t="s">
        <v>580</v>
      </c>
      <c r="B51" s="837" t="s">
        <v>579</v>
      </c>
      <c r="C51" s="245">
        <f t="shared" si="11"/>
        <v>0</v>
      </c>
      <c r="D51" s="374">
        <f t="shared" si="12"/>
        <v>0</v>
      </c>
      <c r="E51" s="838">
        <v>0</v>
      </c>
      <c r="F51" s="381">
        <f t="shared" si="13"/>
        <v>0</v>
      </c>
      <c r="H51" s="381">
        <f t="shared" si="14"/>
        <v>0</v>
      </c>
      <c r="I51" s="381">
        <f t="shared" si="15"/>
        <v>0</v>
      </c>
      <c r="J51" s="381">
        <f t="shared" si="16"/>
        <v>0</v>
      </c>
      <c r="K51" s="381">
        <f t="shared" si="17"/>
        <v>0</v>
      </c>
    </row>
    <row r="52" spans="1:11" x14ac:dyDescent="0.2">
      <c r="A52" s="836" t="s">
        <v>578</v>
      </c>
      <c r="B52" s="837" t="s">
        <v>425</v>
      </c>
      <c r="C52" s="245">
        <f t="shared" si="11"/>
        <v>0</v>
      </c>
      <c r="D52" s="374">
        <f t="shared" si="12"/>
        <v>0</v>
      </c>
      <c r="E52" s="838">
        <v>0</v>
      </c>
      <c r="F52" s="381">
        <f t="shared" si="13"/>
        <v>0</v>
      </c>
      <c r="H52" s="381">
        <f t="shared" si="14"/>
        <v>0</v>
      </c>
      <c r="I52" s="381">
        <f t="shared" si="15"/>
        <v>0</v>
      </c>
      <c r="J52" s="381">
        <f t="shared" si="16"/>
        <v>0</v>
      </c>
      <c r="K52" s="381">
        <f t="shared" si="17"/>
        <v>0</v>
      </c>
    </row>
    <row r="53" spans="1:11" x14ac:dyDescent="0.2">
      <c r="A53" s="836" t="s">
        <v>577</v>
      </c>
      <c r="B53" s="837" t="s">
        <v>419</v>
      </c>
      <c r="C53" s="245">
        <f t="shared" si="11"/>
        <v>5580.3440409150153</v>
      </c>
      <c r="D53" s="374">
        <f t="shared" si="12"/>
        <v>465.02867007625127</v>
      </c>
      <c r="E53" s="838">
        <v>2811.44</v>
      </c>
      <c r="F53" s="381">
        <f t="shared" si="13"/>
        <v>6.0278955045283619E-2</v>
      </c>
      <c r="H53" s="381">
        <f t="shared" si="14"/>
        <v>2.4131349178294378E-3</v>
      </c>
      <c r="I53" s="381">
        <f t="shared" si="15"/>
        <v>2.1227415358244608E-3</v>
      </c>
      <c r="J53" s="381">
        <f t="shared" si="16"/>
        <v>1.2855648222283547E-3</v>
      </c>
      <c r="K53" s="381">
        <f t="shared" si="17"/>
        <v>1.1624249997121267E-3</v>
      </c>
    </row>
    <row r="54" spans="1:11" x14ac:dyDescent="0.2">
      <c r="A54" s="836" t="s">
        <v>576</v>
      </c>
      <c r="B54" s="837" t="s">
        <v>516</v>
      </c>
      <c r="C54" s="245">
        <f t="shared" si="11"/>
        <v>129.1753657139221</v>
      </c>
      <c r="D54" s="374">
        <f t="shared" si="12"/>
        <v>10.764613809493509</v>
      </c>
      <c r="E54" s="838">
        <v>65.08</v>
      </c>
      <c r="F54" s="381">
        <f t="shared" si="13"/>
        <v>1.3953541225660364E-3</v>
      </c>
      <c r="H54" s="381">
        <f t="shared" si="14"/>
        <v>5.5859922478281521E-5</v>
      </c>
      <c r="I54" s="381">
        <f t="shared" si="15"/>
        <v>4.9137815194866648E-5</v>
      </c>
      <c r="J54" s="381">
        <f t="shared" si="16"/>
        <v>2.9758614315305082E-5</v>
      </c>
      <c r="K54" s="381">
        <f t="shared" si="17"/>
        <v>2.6908139238705147E-5</v>
      </c>
    </row>
    <row r="55" spans="1:11" x14ac:dyDescent="0.2">
      <c r="A55" s="836" t="s">
        <v>575</v>
      </c>
      <c r="B55" s="837" t="s">
        <v>417</v>
      </c>
      <c r="C55" s="245">
        <f t="shared" si="11"/>
        <v>1392.6843170432305</v>
      </c>
      <c r="D55" s="374">
        <f t="shared" si="12"/>
        <v>116.05702642026921</v>
      </c>
      <c r="E55" s="838">
        <v>701.65</v>
      </c>
      <c r="F55" s="381">
        <f t="shared" si="13"/>
        <v>1.5043795637653035E-2</v>
      </c>
      <c r="H55" s="381">
        <f t="shared" si="14"/>
        <v>6.0224515376284919E-4</v>
      </c>
      <c r="I55" s="381">
        <f t="shared" si="15"/>
        <v>5.2977178905160092E-4</v>
      </c>
      <c r="J55" s="381">
        <f t="shared" si="16"/>
        <v>3.2083791847470512E-4</v>
      </c>
      <c r="K55" s="381">
        <f t="shared" si="17"/>
        <v>2.9010596030788977E-4</v>
      </c>
    </row>
    <row r="56" spans="1:11" x14ac:dyDescent="0.2">
      <c r="A56" s="836" t="s">
        <v>574</v>
      </c>
      <c r="B56" s="837" t="s">
        <v>408</v>
      </c>
      <c r="C56" s="245">
        <f t="shared" si="11"/>
        <v>326.11420692681935</v>
      </c>
      <c r="D56" s="374">
        <f t="shared" si="12"/>
        <v>27.17618391056828</v>
      </c>
      <c r="E56" s="838">
        <v>164.3</v>
      </c>
      <c r="F56" s="381">
        <f t="shared" si="13"/>
        <v>3.5226902633312819E-3</v>
      </c>
      <c r="H56" s="381">
        <f t="shared" si="14"/>
        <v>1.4102312942811392E-4</v>
      </c>
      <c r="I56" s="381">
        <f t="shared" si="15"/>
        <v>1.2405259736503676E-4</v>
      </c>
      <c r="J56" s="381">
        <f t="shared" si="16"/>
        <v>7.5128155070753306E-5</v>
      </c>
      <c r="K56" s="381">
        <f t="shared" si="17"/>
        <v>6.793188809033891E-5</v>
      </c>
    </row>
    <row r="57" spans="1:11" ht="12" thickBot="1" x14ac:dyDescent="0.25">
      <c r="A57" s="226"/>
      <c r="B57" s="227"/>
      <c r="C57" s="382"/>
      <c r="D57" s="377"/>
      <c r="E57" s="383"/>
      <c r="F57" s="385"/>
      <c r="G57" s="213"/>
      <c r="H57" s="385"/>
      <c r="I57" s="385"/>
      <c r="J57" s="385"/>
      <c r="K57" s="385"/>
    </row>
    <row r="58" spans="1:11" ht="12" thickBot="1" x14ac:dyDescent="0.25">
      <c r="A58" s="241"/>
      <c r="B58" s="399" t="s">
        <v>944</v>
      </c>
      <c r="C58" s="243">
        <f t="shared" ref="C58:D58" si="18">SUM(C47:C57)</f>
        <v>23322.703583687096</v>
      </c>
      <c r="D58" s="400">
        <f t="shared" si="18"/>
        <v>1943.5586319739243</v>
      </c>
      <c r="E58" s="400">
        <f>SUM(E47:E57)</f>
        <v>11750.24</v>
      </c>
      <c r="F58" s="401">
        <f>SUM(F47:F57)</f>
        <v>0.25193217309680921</v>
      </c>
      <c r="G58" s="401">
        <f t="shared" ref="G58:K58" si="19">SUM(G47:G57)</f>
        <v>0</v>
      </c>
      <c r="H58" s="401">
        <f t="shared" si="19"/>
        <v>1.008554848649666E-2</v>
      </c>
      <c r="I58" s="401">
        <f t="shared" si="19"/>
        <v>8.8718672651402868E-3</v>
      </c>
      <c r="J58" s="401">
        <f t="shared" si="19"/>
        <v>5.3729388486827038E-3</v>
      </c>
      <c r="K58" s="401">
        <f t="shared" si="19"/>
        <v>4.8582835588230283E-3</v>
      </c>
    </row>
    <row r="59" spans="1:11" x14ac:dyDescent="0.2">
      <c r="A59" s="214"/>
      <c r="B59" s="215"/>
      <c r="C59" s="245"/>
      <c r="E59" s="380"/>
      <c r="F59" s="381"/>
      <c r="H59" s="381"/>
      <c r="I59" s="381"/>
      <c r="J59" s="381"/>
      <c r="K59" s="381"/>
    </row>
    <row r="60" spans="1:11" x14ac:dyDescent="0.2">
      <c r="A60" s="214"/>
      <c r="B60" s="244" t="s">
        <v>945</v>
      </c>
      <c r="C60" s="245"/>
      <c r="E60" s="380"/>
      <c r="F60" s="381"/>
      <c r="H60" s="381"/>
      <c r="I60" s="381"/>
      <c r="J60" s="381"/>
      <c r="K60" s="381"/>
    </row>
    <row r="61" spans="1:11" x14ac:dyDescent="0.2">
      <c r="A61" s="836" t="s">
        <v>573</v>
      </c>
      <c r="B61" s="837" t="s">
        <v>572</v>
      </c>
      <c r="C61" s="245">
        <f t="shared" ref="C61:C69" si="20">F61*$C$74</f>
        <v>29075.175585799268</v>
      </c>
      <c r="D61" s="374">
        <f t="shared" ref="D61:D69" si="21">C61/12</f>
        <v>2422.9312988166057</v>
      </c>
      <c r="E61" s="838">
        <v>14648.4</v>
      </c>
      <c r="F61" s="381">
        <f t="shared" ref="F61:F69" si="22">E61/$E$74</f>
        <v>0.31407045680695034</v>
      </c>
      <c r="H61" s="381">
        <f t="shared" ref="H61:H69" si="23">C61/$C$131</f>
        <v>1.2573117523522725E-2</v>
      </c>
      <c r="I61" s="381">
        <f t="shared" ref="I61:I69" si="24">E61/$E$131</f>
        <v>1.1060085619245309E-2</v>
      </c>
      <c r="J61" s="381">
        <f t="shared" ref="J61:J69" si="25">C61/$C$28</f>
        <v>6.6981574360220489E-3</v>
      </c>
      <c r="K61" s="381">
        <f t="shared" ref="K61:K69" si="26">E61/$E$28</f>
        <v>6.0565640261869775E-3</v>
      </c>
    </row>
    <row r="62" spans="1:11" x14ac:dyDescent="0.2">
      <c r="A62" s="836" t="s">
        <v>571</v>
      </c>
      <c r="B62" s="837" t="s">
        <v>508</v>
      </c>
      <c r="C62" s="245">
        <f t="shared" si="20"/>
        <v>1454.9100041226934</v>
      </c>
      <c r="D62" s="374">
        <f t="shared" si="21"/>
        <v>121.24250034355778</v>
      </c>
      <c r="E62" s="838">
        <v>733</v>
      </c>
      <c r="F62" s="381">
        <f t="shared" si="22"/>
        <v>1.5715958387229636E-2</v>
      </c>
      <c r="H62" s="381">
        <f t="shared" si="23"/>
        <v>6.2915370584788483E-4</v>
      </c>
      <c r="I62" s="381">
        <f t="shared" si="24"/>
        <v>5.5344220248674332E-4</v>
      </c>
      <c r="J62" s="381">
        <f t="shared" si="25"/>
        <v>3.3517308379100525E-4</v>
      </c>
      <c r="K62" s="381">
        <f t="shared" si="26"/>
        <v>3.0306800955702019E-4</v>
      </c>
    </row>
    <row r="63" spans="1:11" x14ac:dyDescent="0.2">
      <c r="A63" s="836" t="s">
        <v>570</v>
      </c>
      <c r="B63" s="837" t="s">
        <v>361</v>
      </c>
      <c r="C63" s="245">
        <f t="shared" si="20"/>
        <v>0</v>
      </c>
      <c r="D63" s="374">
        <f t="shared" si="21"/>
        <v>0</v>
      </c>
      <c r="E63" s="838">
        <v>0</v>
      </c>
      <c r="F63" s="381">
        <f t="shared" si="22"/>
        <v>0</v>
      </c>
      <c r="H63" s="381">
        <f t="shared" si="23"/>
        <v>0</v>
      </c>
      <c r="I63" s="381">
        <f t="shared" si="24"/>
        <v>0</v>
      </c>
      <c r="J63" s="381">
        <f t="shared" si="25"/>
        <v>0</v>
      </c>
      <c r="K63" s="381">
        <f t="shared" si="26"/>
        <v>0</v>
      </c>
    </row>
    <row r="64" spans="1:11" x14ac:dyDescent="0.2">
      <c r="A64" s="836" t="s">
        <v>569</v>
      </c>
      <c r="B64" s="837" t="s">
        <v>359</v>
      </c>
      <c r="C64" s="245">
        <f t="shared" si="20"/>
        <v>7982.970115526743</v>
      </c>
      <c r="D64" s="374">
        <f t="shared" si="21"/>
        <v>665.24750962722862</v>
      </c>
      <c r="E64" s="838">
        <v>4021.91</v>
      </c>
      <c r="F64" s="381">
        <f t="shared" si="22"/>
        <v>8.623215579424659E-2</v>
      </c>
      <c r="H64" s="381">
        <f t="shared" si="23"/>
        <v>3.4521140260391093E-3</v>
      </c>
      <c r="I64" s="381">
        <f t="shared" si="24"/>
        <v>3.0366913077809793E-3</v>
      </c>
      <c r="J64" s="381">
        <f t="shared" si="25"/>
        <v>1.8390668177761011E-3</v>
      </c>
      <c r="K64" s="381">
        <f t="shared" si="26"/>
        <v>1.6629089472271145E-3</v>
      </c>
    </row>
    <row r="65" spans="1:11" x14ac:dyDescent="0.2">
      <c r="A65" s="836" t="s">
        <v>568</v>
      </c>
      <c r="B65" s="837" t="s">
        <v>567</v>
      </c>
      <c r="C65" s="245">
        <f t="shared" si="20"/>
        <v>23177.27212938686</v>
      </c>
      <c r="D65" s="374">
        <f t="shared" si="21"/>
        <v>1931.4393441155717</v>
      </c>
      <c r="E65" s="838">
        <v>11676.97</v>
      </c>
      <c r="F65" s="381">
        <f t="shared" si="22"/>
        <v>0.25036122047602843</v>
      </c>
      <c r="H65" s="381">
        <f t="shared" si="23"/>
        <v>1.0022658865722478E-2</v>
      </c>
      <c r="I65" s="381">
        <f t="shared" si="24"/>
        <v>8.8165456960049484E-3</v>
      </c>
      <c r="J65" s="381">
        <f t="shared" si="25"/>
        <v>5.3394352581651499E-3</v>
      </c>
      <c r="K65" s="381">
        <f t="shared" si="26"/>
        <v>4.8279891617422068E-3</v>
      </c>
    </row>
    <row r="66" spans="1:11" x14ac:dyDescent="0.2">
      <c r="A66" s="836" t="s">
        <v>566</v>
      </c>
      <c r="B66" s="837" t="s">
        <v>565</v>
      </c>
      <c r="C66" s="245">
        <f t="shared" si="20"/>
        <v>7044.7615742597382</v>
      </c>
      <c r="D66" s="374">
        <f t="shared" si="21"/>
        <v>587.06346452164485</v>
      </c>
      <c r="E66" s="838">
        <v>3549.23</v>
      </c>
      <c r="F66" s="381">
        <f t="shared" si="22"/>
        <v>7.6097613897281105E-2</v>
      </c>
      <c r="H66" s="381">
        <f t="shared" si="23"/>
        <v>3.0464000101043504E-3</v>
      </c>
      <c r="I66" s="381">
        <f t="shared" si="24"/>
        <v>2.6798003660737026E-3</v>
      </c>
      <c r="J66" s="381">
        <f t="shared" si="25"/>
        <v>1.6229281912463164E-3</v>
      </c>
      <c r="K66" s="381">
        <f t="shared" si="26"/>
        <v>1.467473494624915E-3</v>
      </c>
    </row>
    <row r="67" spans="1:11" x14ac:dyDescent="0.2">
      <c r="A67" s="836" t="s">
        <v>564</v>
      </c>
      <c r="B67" s="837" t="s">
        <v>498</v>
      </c>
      <c r="C67" s="245">
        <f t="shared" si="20"/>
        <v>0</v>
      </c>
      <c r="D67" s="374">
        <f t="shared" si="21"/>
        <v>0</v>
      </c>
      <c r="E67" s="834">
        <v>0</v>
      </c>
      <c r="F67" s="381">
        <f t="shared" si="22"/>
        <v>0</v>
      </c>
      <c r="H67" s="381">
        <f t="shared" si="23"/>
        <v>0</v>
      </c>
      <c r="I67" s="381">
        <f t="shared" si="24"/>
        <v>0</v>
      </c>
      <c r="J67" s="381">
        <f t="shared" si="25"/>
        <v>0</v>
      </c>
      <c r="K67" s="381">
        <f t="shared" si="26"/>
        <v>0</v>
      </c>
    </row>
    <row r="68" spans="1:11" x14ac:dyDescent="0.2">
      <c r="A68" s="836" t="s">
        <v>563</v>
      </c>
      <c r="B68" s="837" t="s">
        <v>562</v>
      </c>
      <c r="C68" s="245">
        <f t="shared" si="20"/>
        <v>0</v>
      </c>
      <c r="D68" s="374">
        <f t="shared" si="21"/>
        <v>0</v>
      </c>
      <c r="E68" s="838">
        <v>0</v>
      </c>
      <c r="F68" s="381">
        <f t="shared" si="22"/>
        <v>0</v>
      </c>
      <c r="H68" s="381">
        <f t="shared" si="23"/>
        <v>0</v>
      </c>
      <c r="I68" s="381">
        <f t="shared" si="24"/>
        <v>0</v>
      </c>
      <c r="J68" s="381">
        <f t="shared" si="25"/>
        <v>0</v>
      </c>
      <c r="K68" s="381">
        <f t="shared" si="26"/>
        <v>0</v>
      </c>
    </row>
    <row r="69" spans="1:11" x14ac:dyDescent="0.2">
      <c r="A69" s="836" t="s">
        <v>561</v>
      </c>
      <c r="B69" s="837" t="s">
        <v>353</v>
      </c>
      <c r="C69" s="232">
        <f t="shared" si="20"/>
        <v>517.53510842421713</v>
      </c>
      <c r="D69" s="392">
        <f t="shared" si="21"/>
        <v>43.127925702018096</v>
      </c>
      <c r="E69" s="838">
        <v>260.74</v>
      </c>
      <c r="F69" s="381">
        <f t="shared" si="22"/>
        <v>5.5904215414546467E-3</v>
      </c>
      <c r="H69" s="381">
        <f t="shared" si="23"/>
        <v>2.2380018726163374E-4</v>
      </c>
      <c r="I69" s="381">
        <f t="shared" si="24"/>
        <v>1.9686837636615753E-4</v>
      </c>
      <c r="J69" s="381">
        <f t="shared" si="25"/>
        <v>1.1922650732287411E-4</v>
      </c>
      <c r="K69" s="381">
        <f t="shared" si="26"/>
        <v>1.078062112031343E-4</v>
      </c>
    </row>
    <row r="70" spans="1:11" ht="12" thickBot="1" x14ac:dyDescent="0.25">
      <c r="A70" s="226"/>
      <c r="B70" s="227"/>
      <c r="C70" s="382"/>
      <c r="D70" s="377"/>
      <c r="E70" s="383"/>
      <c r="F70" s="385"/>
      <c r="G70" s="213"/>
      <c r="H70" s="385"/>
      <c r="I70" s="385"/>
      <c r="J70" s="385"/>
      <c r="K70" s="385"/>
    </row>
    <row r="71" spans="1:11" ht="12" thickBot="1" x14ac:dyDescent="0.25">
      <c r="A71" s="241"/>
      <c r="B71" s="399" t="s">
        <v>946</v>
      </c>
      <c r="C71" s="243">
        <f t="shared" ref="C71:D71" si="27">SUM(C60:C70)</f>
        <v>69252.624517519507</v>
      </c>
      <c r="D71" s="400">
        <f t="shared" si="27"/>
        <v>5771.0520431266268</v>
      </c>
      <c r="E71" s="400">
        <f>SUM(E60:E70)</f>
        <v>34890.25</v>
      </c>
      <c r="F71" s="402">
        <f>SUM(F60:F70)</f>
        <v>0.74806782690319062</v>
      </c>
      <c r="G71" s="402">
        <f t="shared" ref="G71:K71" si="28">SUM(G60:G70)</f>
        <v>0</v>
      </c>
      <c r="H71" s="402">
        <f t="shared" si="28"/>
        <v>2.9947244318498181E-2</v>
      </c>
      <c r="I71" s="402">
        <f t="shared" si="28"/>
        <v>2.634343356795784E-2</v>
      </c>
      <c r="J71" s="402">
        <f t="shared" si="28"/>
        <v>1.5953987294323495E-2</v>
      </c>
      <c r="K71" s="402">
        <f t="shared" si="28"/>
        <v>1.4425809850541369E-2</v>
      </c>
    </row>
    <row r="72" spans="1:11" x14ac:dyDescent="0.2">
      <c r="A72" s="234"/>
      <c r="B72" s="235"/>
      <c r="C72" s="232"/>
      <c r="D72" s="392"/>
      <c r="E72" s="393"/>
      <c r="F72" s="386"/>
      <c r="G72" s="204"/>
      <c r="H72" s="386"/>
      <c r="I72" s="386"/>
      <c r="J72" s="386"/>
      <c r="K72" s="386"/>
    </row>
    <row r="73" spans="1:11" x14ac:dyDescent="0.2">
      <c r="A73" s="209"/>
      <c r="B73" s="210"/>
      <c r="C73" s="245"/>
      <c r="E73" s="380"/>
      <c r="F73" s="210"/>
      <c r="G73" s="210"/>
      <c r="H73" s="210"/>
      <c r="I73" s="210"/>
      <c r="J73" s="210"/>
      <c r="K73" s="210"/>
    </row>
    <row r="74" spans="1:11" ht="12" thickBot="1" x14ac:dyDescent="0.25">
      <c r="A74" s="212" t="s">
        <v>560</v>
      </c>
      <c r="B74" s="213"/>
      <c r="C74" s="382">
        <f>C21/Markup_other_reimb_expense</f>
        <v>92575.328101206615</v>
      </c>
      <c r="D74" s="377">
        <f>C74/12</f>
        <v>7714.6106751005509</v>
      </c>
      <c r="E74" s="384">
        <f>E58+E71</f>
        <v>46640.49</v>
      </c>
      <c r="F74" s="385">
        <f>E74/$E$74</f>
        <v>1</v>
      </c>
      <c r="G74" s="381">
        <f>E74/$E$76</f>
        <v>8.3030704962622229E-2</v>
      </c>
      <c r="H74" s="381">
        <f>C74/$C$131</f>
        <v>4.0032792804994839E-2</v>
      </c>
      <c r="I74" s="381">
        <f>E74/$E$131</f>
        <v>3.5215300833098123E-2</v>
      </c>
      <c r="J74" s="381">
        <f>C74/$C$28</f>
        <v>2.13269261430062E-2</v>
      </c>
      <c r="K74" s="381">
        <f>E74/$E$28</f>
        <v>1.9284093409364399E-2</v>
      </c>
    </row>
    <row r="75" spans="1:11" ht="12" thickTop="1" x14ac:dyDescent="0.2">
      <c r="A75" s="239"/>
      <c r="B75" s="204"/>
      <c r="C75" s="232"/>
      <c r="D75" s="392"/>
      <c r="E75" s="403"/>
      <c r="F75" s="231"/>
      <c r="G75" s="221"/>
      <c r="H75" s="221"/>
      <c r="I75" s="221"/>
      <c r="J75" s="221"/>
      <c r="K75" s="221"/>
    </row>
    <row r="76" spans="1:11" ht="12" thickBot="1" x14ac:dyDescent="0.25">
      <c r="A76" s="212" t="s">
        <v>559</v>
      </c>
      <c r="B76" s="213"/>
      <c r="C76" s="382">
        <f>C74+C45</f>
        <v>1114952.9338921194</v>
      </c>
      <c r="D76" s="377">
        <f>C76/12</f>
        <v>92912.744491009958</v>
      </c>
      <c r="E76" s="384">
        <f t="shared" ref="E76" si="29">E74+E45</f>
        <v>561725.81000000006</v>
      </c>
      <c r="F76" s="213"/>
      <c r="G76" s="385">
        <f>G45+G74</f>
        <v>0.99999999999999989</v>
      </c>
      <c r="H76" s="385">
        <f>C76/$C$131</f>
        <v>0.4821444406983697</v>
      </c>
      <c r="I76" s="385">
        <f>E76/$E$131</f>
        <v>0.42412383285136418</v>
      </c>
      <c r="J76" s="385">
        <f>C76/$C$28</f>
        <v>0.25685589629290634</v>
      </c>
      <c r="K76" s="385">
        <f>E76/$E$28</f>
        <v>0.23225255546180754</v>
      </c>
    </row>
    <row r="77" spans="1:11" x14ac:dyDescent="0.2">
      <c r="C77" s="245"/>
      <c r="E77" s="403"/>
      <c r="F77" s="210"/>
      <c r="G77" s="210"/>
      <c r="H77" s="210"/>
      <c r="I77" s="210"/>
      <c r="J77" s="210"/>
      <c r="K77" s="210"/>
    </row>
    <row r="78" spans="1:11" ht="12" thickBot="1" x14ac:dyDescent="0.25">
      <c r="A78" s="212" t="s">
        <v>558</v>
      </c>
      <c r="B78" s="213"/>
      <c r="C78" s="382">
        <f>C131+C128</f>
        <v>3225819.2655542176</v>
      </c>
      <c r="D78" s="377">
        <f>C78/12</f>
        <v>268818.27212951815</v>
      </c>
      <c r="E78" s="384">
        <f t="shared" ref="E78" si="30">E28-E76</f>
        <v>1856873.2400000002</v>
      </c>
      <c r="F78" s="213"/>
      <c r="G78" s="213"/>
      <c r="H78" s="385">
        <f>C78/$C$131</f>
        <v>1.3949564849839236</v>
      </c>
      <c r="I78" s="385">
        <f>E78/$E$131</f>
        <v>1.4020082069362827</v>
      </c>
      <c r="J78" s="385">
        <f>C78/$C$28</f>
        <v>0.74314410370709361</v>
      </c>
      <c r="K78" s="385">
        <f>E78/$E$28</f>
        <v>0.76774744453819244</v>
      </c>
    </row>
    <row r="79" spans="1:11" x14ac:dyDescent="0.2">
      <c r="A79" s="248"/>
      <c r="C79" s="245"/>
      <c r="E79" s="380"/>
    </row>
    <row r="80" spans="1:11" x14ac:dyDescent="0.2">
      <c r="C80" s="245"/>
      <c r="E80" s="380"/>
    </row>
    <row r="81" spans="1:21" x14ac:dyDescent="0.2">
      <c r="B81" s="249" t="s">
        <v>557</v>
      </c>
      <c r="C81" s="245"/>
      <c r="E81" s="380"/>
    </row>
    <row r="82" spans="1:21" ht="12" thickBot="1" x14ac:dyDescent="0.25">
      <c r="A82" s="211"/>
      <c r="B82" s="212" t="s">
        <v>556</v>
      </c>
      <c r="C82" s="382"/>
      <c r="D82" s="377"/>
      <c r="E82" s="383"/>
      <c r="F82" s="379"/>
      <c r="G82" s="379"/>
      <c r="H82" s="379"/>
      <c r="I82" s="379"/>
      <c r="J82" s="379"/>
      <c r="K82" s="379"/>
    </row>
    <row r="83" spans="1:21" s="218" customFormat="1" x14ac:dyDescent="0.2">
      <c r="A83" s="836" t="s">
        <v>555</v>
      </c>
      <c r="B83" s="837" t="s">
        <v>554</v>
      </c>
      <c r="C83" s="245">
        <f t="shared" ref="C83:C95" si="31">F83*$C$97</f>
        <v>56719.257972456195</v>
      </c>
      <c r="D83" s="374">
        <f t="shared" ref="D83:D95" si="32">C83/12</f>
        <v>4726.6048310380165</v>
      </c>
      <c r="E83" s="838">
        <v>32485</v>
      </c>
      <c r="F83" s="381">
        <f t="shared" ref="F83:F95" si="33">E83/$E$97</f>
        <v>7.763956599279459E-2</v>
      </c>
      <c r="G83" s="194"/>
      <c r="H83" s="381">
        <f t="shared" ref="H83:H95" si="34">C83/$C$131</f>
        <v>2.4527380556319041E-2</v>
      </c>
      <c r="I83" s="381">
        <f t="shared" ref="I83:I95" si="35">E83/$E$131</f>
        <v>2.4527380556319041E-2</v>
      </c>
      <c r="J83" s="381">
        <f t="shared" ref="J83:J95" si="36">C83/$C$28</f>
        <v>1.3066628555096878E-2</v>
      </c>
      <c r="K83" s="381">
        <f t="shared" ref="K83:K95" si="37">E83/$E$28</f>
        <v>1.3431329182073397E-2</v>
      </c>
      <c r="L83" s="285"/>
      <c r="M83" s="285"/>
      <c r="N83" s="285"/>
      <c r="O83" s="285"/>
      <c r="P83" s="216"/>
      <c r="Q83" s="216"/>
      <c r="R83" s="216"/>
      <c r="S83" s="380"/>
      <c r="T83" s="374"/>
      <c r="U83" s="361"/>
    </row>
    <row r="84" spans="1:21" x14ac:dyDescent="0.2">
      <c r="A84" s="836" t="s">
        <v>553</v>
      </c>
      <c r="B84" s="837" t="s">
        <v>552</v>
      </c>
      <c r="C84" s="245">
        <f t="shared" si="31"/>
        <v>105178.9104100008</v>
      </c>
      <c r="D84" s="374">
        <f t="shared" si="32"/>
        <v>8764.9092008333992</v>
      </c>
      <c r="E84" s="838">
        <v>60239.45</v>
      </c>
      <c r="F84" s="381">
        <f t="shared" si="33"/>
        <v>0.1439730569076389</v>
      </c>
      <c r="H84" s="381">
        <f t="shared" si="34"/>
        <v>4.5483020306398426E-2</v>
      </c>
      <c r="I84" s="381">
        <f t="shared" si="35"/>
        <v>4.5483020306398433E-2</v>
      </c>
      <c r="J84" s="381">
        <f t="shared" si="36"/>
        <v>2.423046075152626E-2</v>
      </c>
      <c r="K84" s="381">
        <f t="shared" si="37"/>
        <v>2.4906753353764854E-2</v>
      </c>
    </row>
    <row r="85" spans="1:21" x14ac:dyDescent="0.2">
      <c r="A85" s="836" t="s">
        <v>551</v>
      </c>
      <c r="B85" s="837" t="s">
        <v>550</v>
      </c>
      <c r="C85" s="245">
        <f t="shared" si="31"/>
        <v>222295.75360658544</v>
      </c>
      <c r="D85" s="374">
        <f t="shared" si="32"/>
        <v>18524.646133882121</v>
      </c>
      <c r="E85" s="838">
        <v>127316.15</v>
      </c>
      <c r="F85" s="381">
        <f t="shared" si="33"/>
        <v>0.30428722887097226</v>
      </c>
      <c r="H85" s="381">
        <f t="shared" si="34"/>
        <v>9.6128418101135843E-2</v>
      </c>
      <c r="I85" s="381">
        <f t="shared" si="35"/>
        <v>9.6128418101135857E-2</v>
      </c>
      <c r="J85" s="381">
        <f t="shared" si="36"/>
        <v>5.1211107930275425E-2</v>
      </c>
      <c r="K85" s="381">
        <f t="shared" si="37"/>
        <v>5.2640453158203294E-2</v>
      </c>
    </row>
    <row r="86" spans="1:21" x14ac:dyDescent="0.2">
      <c r="A86" s="836" t="s">
        <v>549</v>
      </c>
      <c r="B86" s="837" t="s">
        <v>548</v>
      </c>
      <c r="C86" s="245">
        <f t="shared" si="31"/>
        <v>186749.26995810322</v>
      </c>
      <c r="D86" s="374">
        <f t="shared" si="32"/>
        <v>15562.439163175268</v>
      </c>
      <c r="E86" s="838">
        <v>106957.5</v>
      </c>
      <c r="F86" s="381">
        <f t="shared" si="33"/>
        <v>0.2556297946644398</v>
      </c>
      <c r="H86" s="381">
        <f t="shared" si="34"/>
        <v>8.0756881817838799E-2</v>
      </c>
      <c r="I86" s="381">
        <f t="shared" si="35"/>
        <v>8.0756881817838813E-2</v>
      </c>
      <c r="J86" s="381">
        <f t="shared" si="36"/>
        <v>4.3022130942951341E-2</v>
      </c>
      <c r="K86" s="381">
        <f t="shared" si="37"/>
        <v>4.4222914914317853E-2</v>
      </c>
    </row>
    <row r="87" spans="1:21" x14ac:dyDescent="0.2">
      <c r="A87" s="836" t="s">
        <v>547</v>
      </c>
      <c r="B87" s="837" t="s">
        <v>546</v>
      </c>
      <c r="C87" s="245">
        <f t="shared" si="31"/>
        <v>103490.60237563214</v>
      </c>
      <c r="D87" s="374">
        <f t="shared" si="32"/>
        <v>8624.2168646360115</v>
      </c>
      <c r="E87" s="838">
        <v>59272.5</v>
      </c>
      <c r="F87" s="381">
        <f t="shared" si="33"/>
        <v>0.14166203402517832</v>
      </c>
      <c r="H87" s="381">
        <f t="shared" si="34"/>
        <v>4.4752937171753743E-2</v>
      </c>
      <c r="I87" s="381">
        <f t="shared" si="35"/>
        <v>4.4752937171753743E-2</v>
      </c>
      <c r="J87" s="381">
        <f t="shared" si="36"/>
        <v>2.3841518886623975E-2</v>
      </c>
      <c r="K87" s="381">
        <f t="shared" si="37"/>
        <v>2.4506955793272139E-2</v>
      </c>
    </row>
    <row r="88" spans="1:21" x14ac:dyDescent="0.2">
      <c r="A88" s="836" t="s">
        <v>545</v>
      </c>
      <c r="B88" s="837" t="s">
        <v>544</v>
      </c>
      <c r="C88" s="245">
        <f t="shared" si="31"/>
        <v>0</v>
      </c>
      <c r="D88" s="374">
        <f t="shared" si="32"/>
        <v>0</v>
      </c>
      <c r="E88" s="838">
        <v>0</v>
      </c>
      <c r="F88" s="381">
        <f t="shared" si="33"/>
        <v>0</v>
      </c>
      <c r="H88" s="381">
        <f t="shared" si="34"/>
        <v>0</v>
      </c>
      <c r="I88" s="381">
        <f t="shared" si="35"/>
        <v>0</v>
      </c>
      <c r="J88" s="381">
        <f t="shared" si="36"/>
        <v>0</v>
      </c>
      <c r="K88" s="381">
        <f t="shared" si="37"/>
        <v>0</v>
      </c>
    </row>
    <row r="89" spans="1:21" x14ac:dyDescent="0.2">
      <c r="A89" s="836" t="s">
        <v>543</v>
      </c>
      <c r="B89" s="837" t="s">
        <v>542</v>
      </c>
      <c r="C89" s="245">
        <f t="shared" si="31"/>
        <v>0</v>
      </c>
      <c r="D89" s="374">
        <f t="shared" si="32"/>
        <v>0</v>
      </c>
      <c r="E89" s="838">
        <v>0</v>
      </c>
      <c r="F89" s="381">
        <f t="shared" si="33"/>
        <v>0</v>
      </c>
      <c r="H89" s="381">
        <f t="shared" si="34"/>
        <v>0</v>
      </c>
      <c r="I89" s="381">
        <f t="shared" si="35"/>
        <v>0</v>
      </c>
      <c r="J89" s="381">
        <f t="shared" si="36"/>
        <v>0</v>
      </c>
      <c r="K89" s="381">
        <f t="shared" si="37"/>
        <v>0</v>
      </c>
    </row>
    <row r="90" spans="1:21" x14ac:dyDescent="0.2">
      <c r="A90" s="836" t="s">
        <v>541</v>
      </c>
      <c r="B90" s="837" t="s">
        <v>540</v>
      </c>
      <c r="C90" s="245">
        <f t="shared" si="31"/>
        <v>31985.575824196381</v>
      </c>
      <c r="D90" s="374">
        <f t="shared" si="32"/>
        <v>2665.4646520163651</v>
      </c>
      <c r="E90" s="838">
        <v>18319.2</v>
      </c>
      <c r="F90" s="381">
        <f t="shared" si="33"/>
        <v>4.3783122589970837E-2</v>
      </c>
      <c r="H90" s="381">
        <f t="shared" si="34"/>
        <v>1.3831675846923802E-2</v>
      </c>
      <c r="I90" s="381">
        <f t="shared" si="35"/>
        <v>1.3831675846923805E-2</v>
      </c>
      <c r="J90" s="381">
        <f t="shared" si="36"/>
        <v>7.3686372734040545E-3</v>
      </c>
      <c r="K90" s="381">
        <f t="shared" si="37"/>
        <v>7.5743021564487912E-3</v>
      </c>
    </row>
    <row r="91" spans="1:21" x14ac:dyDescent="0.2">
      <c r="A91" s="836" t="s">
        <v>539</v>
      </c>
      <c r="B91" s="837" t="s">
        <v>538</v>
      </c>
      <c r="C91" s="245">
        <f t="shared" si="31"/>
        <v>19625.195001089967</v>
      </c>
      <c r="D91" s="374">
        <f t="shared" si="32"/>
        <v>1635.4329167574972</v>
      </c>
      <c r="E91" s="838">
        <v>11240</v>
      </c>
      <c r="F91" s="381">
        <f t="shared" si="33"/>
        <v>2.6863743935940008E-2</v>
      </c>
      <c r="H91" s="381">
        <f t="shared" si="34"/>
        <v>8.4866171295375093E-3</v>
      </c>
      <c r="I91" s="381">
        <f t="shared" si="35"/>
        <v>8.486617129537511E-3</v>
      </c>
      <c r="J91" s="381">
        <f t="shared" si="36"/>
        <v>4.5211299048572851E-3</v>
      </c>
      <c r="K91" s="381">
        <f t="shared" si="37"/>
        <v>4.6473184548716327E-3</v>
      </c>
    </row>
    <row r="92" spans="1:21" x14ac:dyDescent="0.2">
      <c r="A92" s="836" t="s">
        <v>537</v>
      </c>
      <c r="B92" s="837" t="s">
        <v>536</v>
      </c>
      <c r="C92" s="245">
        <f t="shared" si="31"/>
        <v>1134.9089635861635</v>
      </c>
      <c r="D92" s="374">
        <f t="shared" si="32"/>
        <v>94.57574696551363</v>
      </c>
      <c r="E92" s="838">
        <v>650</v>
      </c>
      <c r="F92" s="381">
        <f t="shared" si="33"/>
        <v>1.5535083236975983E-3</v>
      </c>
      <c r="H92" s="381">
        <f t="shared" si="34"/>
        <v>4.9077412225973134E-4</v>
      </c>
      <c r="I92" s="381">
        <f t="shared" si="35"/>
        <v>4.9077412225973145E-4</v>
      </c>
      <c r="J92" s="381">
        <f t="shared" si="36"/>
        <v>2.6145324182893549E-4</v>
      </c>
      <c r="K92" s="381">
        <f t="shared" si="37"/>
        <v>2.6875062239026346E-4</v>
      </c>
    </row>
    <row r="93" spans="1:21" x14ac:dyDescent="0.2">
      <c r="A93" s="836" t="s">
        <v>535</v>
      </c>
      <c r="B93" s="837" t="s">
        <v>534</v>
      </c>
      <c r="C93" s="245">
        <f t="shared" si="31"/>
        <v>3366.3145873755743</v>
      </c>
      <c r="D93" s="374">
        <f t="shared" si="32"/>
        <v>280.52621561463121</v>
      </c>
      <c r="E93" s="838">
        <v>1928</v>
      </c>
      <c r="F93" s="381">
        <f t="shared" si="33"/>
        <v>4.6079446893676455E-3</v>
      </c>
      <c r="H93" s="381">
        <f t="shared" si="34"/>
        <v>1.4557115503334801E-3</v>
      </c>
      <c r="I93" s="381">
        <f t="shared" si="35"/>
        <v>1.4557115503334803E-3</v>
      </c>
      <c r="J93" s="381">
        <f t="shared" si="36"/>
        <v>7.7551053884028877E-4</v>
      </c>
      <c r="K93" s="381">
        <f t="shared" si="37"/>
        <v>7.9715569225911995E-4</v>
      </c>
    </row>
    <row r="94" spans="1:21" x14ac:dyDescent="0.2">
      <c r="A94" s="836" t="s">
        <v>533</v>
      </c>
      <c r="B94" s="837" t="s">
        <v>532</v>
      </c>
      <c r="C94" s="245">
        <f t="shared" si="31"/>
        <v>0</v>
      </c>
      <c r="D94" s="374">
        <f t="shared" si="32"/>
        <v>0</v>
      </c>
      <c r="E94" s="838">
        <v>0</v>
      </c>
      <c r="F94" s="381">
        <f t="shared" si="33"/>
        <v>0</v>
      </c>
      <c r="H94" s="381">
        <f t="shared" si="34"/>
        <v>0</v>
      </c>
      <c r="I94" s="381">
        <f t="shared" si="35"/>
        <v>0</v>
      </c>
      <c r="J94" s="381">
        <f t="shared" si="36"/>
        <v>0</v>
      </c>
      <c r="K94" s="381">
        <f t="shared" si="37"/>
        <v>0</v>
      </c>
    </row>
    <row r="95" spans="1:21" x14ac:dyDescent="0.2">
      <c r="A95" s="836" t="s">
        <v>531</v>
      </c>
      <c r="B95" s="837" t="s">
        <v>530</v>
      </c>
      <c r="C95" s="232">
        <f t="shared" si="31"/>
        <v>0</v>
      </c>
      <c r="D95" s="392">
        <f t="shared" si="32"/>
        <v>0</v>
      </c>
      <c r="E95" s="838">
        <v>0</v>
      </c>
      <c r="F95" s="386">
        <f t="shared" si="33"/>
        <v>0</v>
      </c>
      <c r="G95" s="204"/>
      <c r="H95" s="386">
        <f t="shared" si="34"/>
        <v>0</v>
      </c>
      <c r="I95" s="386">
        <f t="shared" si="35"/>
        <v>0</v>
      </c>
      <c r="J95" s="386">
        <f t="shared" si="36"/>
        <v>0</v>
      </c>
      <c r="K95" s="386">
        <f t="shared" si="37"/>
        <v>0</v>
      </c>
    </row>
    <row r="96" spans="1:21" x14ac:dyDescent="0.2">
      <c r="A96" s="209"/>
      <c r="B96" s="210"/>
      <c r="C96" s="245"/>
      <c r="E96" s="380"/>
      <c r="F96" s="210"/>
      <c r="G96" s="210"/>
      <c r="H96" s="210"/>
      <c r="I96" s="210"/>
      <c r="J96" s="210"/>
      <c r="K96" s="210"/>
    </row>
    <row r="97" spans="1:11" ht="12" thickBot="1" x14ac:dyDescent="0.25">
      <c r="A97" s="236"/>
      <c r="B97" s="394" t="s">
        <v>529</v>
      </c>
      <c r="C97" s="395">
        <f>H97*C131</f>
        <v>730545.78869902587</v>
      </c>
      <c r="D97" s="396">
        <f>C97/12</f>
        <v>60878.815724918823</v>
      </c>
      <c r="E97" s="397">
        <f t="shared" ref="E97" si="38">SUM(E82:E96)</f>
        <v>418407.8</v>
      </c>
      <c r="F97" s="398">
        <f>SUM(F82:F96)</f>
        <v>1</v>
      </c>
      <c r="G97" s="266"/>
      <c r="H97" s="398">
        <f>I97</f>
        <v>0.31591341660250039</v>
      </c>
      <c r="I97" s="398">
        <f>E97/$E$131</f>
        <v>0.31591341660250039</v>
      </c>
      <c r="J97" s="398">
        <f>C97/$C$28</f>
        <v>0.16829857802540443</v>
      </c>
      <c r="K97" s="398">
        <f>E97/$E$28</f>
        <v>0.17299593332760135</v>
      </c>
    </row>
    <row r="98" spans="1:11" x14ac:dyDescent="0.2">
      <c r="A98" s="239"/>
      <c r="B98" s="204"/>
      <c r="C98" s="245"/>
      <c r="E98" s="380"/>
      <c r="F98" s="204"/>
      <c r="G98" s="204"/>
      <c r="H98" s="204"/>
      <c r="I98" s="204"/>
      <c r="J98" s="204"/>
      <c r="K98" s="204"/>
    </row>
    <row r="99" spans="1:11" ht="12" thickBot="1" x14ac:dyDescent="0.25">
      <c r="A99" s="211"/>
      <c r="B99" s="212" t="s">
        <v>947</v>
      </c>
      <c r="C99" s="382"/>
      <c r="D99" s="377"/>
      <c r="E99" s="383"/>
      <c r="F99" s="379"/>
      <c r="G99" s="379"/>
      <c r="H99" s="379"/>
      <c r="I99" s="379"/>
      <c r="J99" s="379"/>
      <c r="K99" s="379"/>
    </row>
    <row r="100" spans="1:11" x14ac:dyDescent="0.2">
      <c r="A100" s="836" t="s">
        <v>528</v>
      </c>
      <c r="B100" s="837"/>
      <c r="C100" s="245">
        <f t="shared" ref="C100:C110" si="39">F100*$C$125</f>
        <v>0</v>
      </c>
      <c r="D100" s="374">
        <f t="shared" ref="D100:D110" si="40">C100/12</f>
        <v>0</v>
      </c>
      <c r="E100" s="838">
        <v>0</v>
      </c>
      <c r="F100" s="381">
        <f t="shared" ref="F100:F110" si="41">E100/$E$125</f>
        <v>0</v>
      </c>
      <c r="H100" s="381">
        <f t="shared" ref="H100:H110" si="42">C100/$C$131</f>
        <v>0</v>
      </c>
      <c r="I100" s="381">
        <f t="shared" ref="I100:I110" si="43">E100/$E$131</f>
        <v>0</v>
      </c>
      <c r="J100" s="381">
        <f t="shared" ref="J100:J110" si="44">C100/$C$28</f>
        <v>0</v>
      </c>
      <c r="K100" s="381">
        <f t="shared" ref="K100:K110" si="45">E100/$E$28</f>
        <v>0</v>
      </c>
    </row>
    <row r="101" spans="1:11" x14ac:dyDescent="0.2">
      <c r="A101" s="836" t="s">
        <v>527</v>
      </c>
      <c r="B101" s="837" t="s">
        <v>433</v>
      </c>
      <c r="C101" s="245">
        <f t="shared" si="39"/>
        <v>819.3169710197036</v>
      </c>
      <c r="D101" s="374">
        <f t="shared" si="40"/>
        <v>68.276414251641967</v>
      </c>
      <c r="E101" s="838">
        <v>469.25</v>
      </c>
      <c r="F101" s="381">
        <f t="shared" si="41"/>
        <v>4.482381209017376E-3</v>
      </c>
      <c r="H101" s="381">
        <f t="shared" si="42"/>
        <v>3.5430116441596767E-4</v>
      </c>
      <c r="I101" s="381">
        <f t="shared" si="43"/>
        <v>3.5430116441596767E-4</v>
      </c>
      <c r="J101" s="381">
        <f t="shared" si="44"/>
        <v>1.8874912881265847E-4</v>
      </c>
      <c r="K101" s="381">
        <f t="shared" si="45"/>
        <v>1.9401727624097096E-4</v>
      </c>
    </row>
    <row r="102" spans="1:11" x14ac:dyDescent="0.2">
      <c r="A102" s="836" t="s">
        <v>526</v>
      </c>
      <c r="B102" s="837" t="s">
        <v>525</v>
      </c>
      <c r="C102" s="245">
        <f t="shared" si="39"/>
        <v>1962.4147392815892</v>
      </c>
      <c r="D102" s="374">
        <f t="shared" si="40"/>
        <v>163.53456160679909</v>
      </c>
      <c r="E102" s="838">
        <v>1123.94</v>
      </c>
      <c r="F102" s="381">
        <f t="shared" si="41"/>
        <v>1.0736126874934448E-2</v>
      </c>
      <c r="H102" s="381">
        <f t="shared" si="42"/>
        <v>8.4861641072708099E-4</v>
      </c>
      <c r="I102" s="381">
        <f t="shared" si="43"/>
        <v>8.4861641072708099E-4</v>
      </c>
      <c r="J102" s="381">
        <f t="shared" si="44"/>
        <v>4.5208885634032901E-4</v>
      </c>
      <c r="K102" s="381">
        <f t="shared" si="45"/>
        <v>4.6470703773740421E-4</v>
      </c>
    </row>
    <row r="103" spans="1:11" x14ac:dyDescent="0.2">
      <c r="A103" s="836" t="s">
        <v>524</v>
      </c>
      <c r="B103" s="837" t="s">
        <v>523</v>
      </c>
      <c r="C103" s="245">
        <f t="shared" si="39"/>
        <v>0</v>
      </c>
      <c r="D103" s="374">
        <f t="shared" si="40"/>
        <v>0</v>
      </c>
      <c r="E103" s="838">
        <v>0</v>
      </c>
      <c r="F103" s="381">
        <f t="shared" si="41"/>
        <v>0</v>
      </c>
      <c r="H103" s="381">
        <f t="shared" si="42"/>
        <v>0</v>
      </c>
      <c r="I103" s="381">
        <f t="shared" si="43"/>
        <v>0</v>
      </c>
      <c r="J103" s="381">
        <f t="shared" si="44"/>
        <v>0</v>
      </c>
      <c r="K103" s="381">
        <f t="shared" si="45"/>
        <v>0</v>
      </c>
    </row>
    <row r="104" spans="1:11" x14ac:dyDescent="0.2">
      <c r="A104" s="836" t="s">
        <v>522</v>
      </c>
      <c r="B104" s="837" t="s">
        <v>521</v>
      </c>
      <c r="C104" s="245">
        <f t="shared" si="39"/>
        <v>0</v>
      </c>
      <c r="D104" s="374">
        <f t="shared" si="40"/>
        <v>0</v>
      </c>
      <c r="E104" s="838">
        <v>0</v>
      </c>
      <c r="F104" s="381">
        <f t="shared" si="41"/>
        <v>0</v>
      </c>
      <c r="H104" s="381">
        <f t="shared" si="42"/>
        <v>0</v>
      </c>
      <c r="I104" s="381">
        <f t="shared" si="43"/>
        <v>0</v>
      </c>
      <c r="J104" s="381">
        <f t="shared" si="44"/>
        <v>0</v>
      </c>
      <c r="K104" s="381">
        <f t="shared" si="45"/>
        <v>0</v>
      </c>
    </row>
    <row r="105" spans="1:11" x14ac:dyDescent="0.2">
      <c r="A105" s="836" t="s">
        <v>520</v>
      </c>
      <c r="B105" s="837" t="s">
        <v>519</v>
      </c>
      <c r="C105" s="245">
        <f t="shared" si="39"/>
        <v>0</v>
      </c>
      <c r="D105" s="374">
        <f t="shared" si="40"/>
        <v>0</v>
      </c>
      <c r="E105" s="838">
        <v>0</v>
      </c>
      <c r="F105" s="381">
        <f t="shared" si="41"/>
        <v>0</v>
      </c>
      <c r="H105" s="381">
        <f t="shared" si="42"/>
        <v>0</v>
      </c>
      <c r="I105" s="381">
        <f t="shared" si="43"/>
        <v>0</v>
      </c>
      <c r="J105" s="381">
        <f t="shared" si="44"/>
        <v>0</v>
      </c>
      <c r="K105" s="381">
        <f t="shared" si="45"/>
        <v>0</v>
      </c>
    </row>
    <row r="106" spans="1:11" x14ac:dyDescent="0.2">
      <c r="A106" s="836" t="s">
        <v>518</v>
      </c>
      <c r="B106" s="837" t="s">
        <v>419</v>
      </c>
      <c r="C106" s="245">
        <f t="shared" si="39"/>
        <v>3001.5199262031792</v>
      </c>
      <c r="D106" s="374">
        <f t="shared" si="40"/>
        <v>250.12666051693159</v>
      </c>
      <c r="E106" s="838">
        <v>1719.07</v>
      </c>
      <c r="F106" s="381">
        <f t="shared" si="41"/>
        <v>1.6420942067097495E-2</v>
      </c>
      <c r="H106" s="381">
        <f t="shared" si="42"/>
        <v>1.2979616466969794E-3</v>
      </c>
      <c r="I106" s="381">
        <f t="shared" si="43"/>
        <v>1.2979616466969792E-3</v>
      </c>
      <c r="J106" s="381">
        <f t="shared" si="44"/>
        <v>6.9147142220133578E-4</v>
      </c>
      <c r="K106" s="381">
        <f t="shared" si="45"/>
        <v>7.1077097297296955E-4</v>
      </c>
    </row>
    <row r="107" spans="1:11" x14ac:dyDescent="0.2">
      <c r="A107" s="836" t="s">
        <v>517</v>
      </c>
      <c r="B107" s="837" t="s">
        <v>516</v>
      </c>
      <c r="C107" s="245">
        <f t="shared" si="39"/>
        <v>448.23666020283076</v>
      </c>
      <c r="D107" s="374">
        <f t="shared" si="40"/>
        <v>37.353055016902566</v>
      </c>
      <c r="E107" s="838">
        <v>256.72000000000003</v>
      </c>
      <c r="F107" s="381">
        <f t="shared" si="41"/>
        <v>2.4522469983568264E-3</v>
      </c>
      <c r="H107" s="381">
        <f t="shared" si="42"/>
        <v>1.938331271792589E-4</v>
      </c>
      <c r="I107" s="381">
        <f t="shared" si="43"/>
        <v>1.9383312717925888E-4</v>
      </c>
      <c r="J107" s="381">
        <f t="shared" si="44"/>
        <v>1.0326196344972976E-4</v>
      </c>
      <c r="K107" s="381">
        <f t="shared" si="45"/>
        <v>1.0614409196927453E-4</v>
      </c>
    </row>
    <row r="108" spans="1:11" x14ac:dyDescent="0.2">
      <c r="A108" s="836" t="s">
        <v>515</v>
      </c>
      <c r="B108" s="837" t="s">
        <v>417</v>
      </c>
      <c r="C108" s="245">
        <f t="shared" si="39"/>
        <v>10036.174566371459</v>
      </c>
      <c r="D108" s="374">
        <f t="shared" si="40"/>
        <v>836.34788053095497</v>
      </c>
      <c r="E108" s="838">
        <v>5748.05</v>
      </c>
      <c r="F108" s="381">
        <f t="shared" si="41"/>
        <v>5.4906662351608584E-2</v>
      </c>
      <c r="H108" s="381">
        <f t="shared" si="42"/>
        <v>4.3399910668539222E-3</v>
      </c>
      <c r="I108" s="381">
        <f t="shared" si="43"/>
        <v>4.3399910668539222E-3</v>
      </c>
      <c r="J108" s="381">
        <f t="shared" si="44"/>
        <v>2.3120712410689432E-3</v>
      </c>
      <c r="K108" s="381">
        <f t="shared" si="45"/>
        <v>2.3766031000466985E-3</v>
      </c>
    </row>
    <row r="109" spans="1:11" x14ac:dyDescent="0.2">
      <c r="A109" s="836" t="s">
        <v>514</v>
      </c>
      <c r="B109" s="837" t="s">
        <v>408</v>
      </c>
      <c r="C109" s="245">
        <f t="shared" si="39"/>
        <v>39.355150829587892</v>
      </c>
      <c r="D109" s="374">
        <f t="shared" si="40"/>
        <v>3.2795959024656578</v>
      </c>
      <c r="E109" s="838">
        <v>22.54</v>
      </c>
      <c r="F109" s="381">
        <f t="shared" si="41"/>
        <v>2.1530713362014203E-4</v>
      </c>
      <c r="H109" s="381">
        <f t="shared" si="42"/>
        <v>1.701853648574515E-5</v>
      </c>
      <c r="I109" s="381">
        <f t="shared" si="43"/>
        <v>1.701853648574515E-5</v>
      </c>
      <c r="J109" s="381">
        <f t="shared" si="44"/>
        <v>9.066393955114166E-6</v>
      </c>
      <c r="K109" s="381">
        <f t="shared" si="45"/>
        <v>9.3194446595023663E-6</v>
      </c>
    </row>
    <row r="110" spans="1:11" x14ac:dyDescent="0.2">
      <c r="A110" s="839" t="s">
        <v>513</v>
      </c>
      <c r="B110" s="837" t="s">
        <v>512</v>
      </c>
      <c r="C110" s="245">
        <f t="shared" si="39"/>
        <v>0</v>
      </c>
      <c r="D110" s="374">
        <f t="shared" si="40"/>
        <v>0</v>
      </c>
      <c r="E110" s="838">
        <v>0</v>
      </c>
      <c r="F110" s="381">
        <f t="shared" si="41"/>
        <v>0</v>
      </c>
      <c r="H110" s="381">
        <f t="shared" si="42"/>
        <v>0</v>
      </c>
      <c r="I110" s="381">
        <f t="shared" si="43"/>
        <v>0</v>
      </c>
      <c r="J110" s="381">
        <f t="shared" si="44"/>
        <v>0</v>
      </c>
      <c r="K110" s="381">
        <f t="shared" si="45"/>
        <v>0</v>
      </c>
    </row>
    <row r="111" spans="1:11" x14ac:dyDescent="0.2">
      <c r="A111" s="225"/>
      <c r="B111" s="215"/>
      <c r="C111" s="245"/>
      <c r="E111" s="380"/>
      <c r="F111" s="381"/>
      <c r="H111" s="381"/>
      <c r="I111" s="381"/>
      <c r="J111" s="381"/>
      <c r="K111" s="381"/>
    </row>
    <row r="112" spans="1:11" ht="12" thickBot="1" x14ac:dyDescent="0.25">
      <c r="A112" s="251"/>
      <c r="B112" s="252" t="s">
        <v>948</v>
      </c>
      <c r="C112" s="253">
        <f t="shared" ref="C112:D112" si="46">SUM(C99:C111)</f>
        <v>16307.01801390835</v>
      </c>
      <c r="D112" s="404">
        <f t="shared" si="46"/>
        <v>1358.9181678256959</v>
      </c>
      <c r="E112" s="404">
        <f>SUM(E99:E111)</f>
        <v>9339.5700000000015</v>
      </c>
      <c r="F112" s="398">
        <f t="shared" ref="F112:J112" si="47">SUM(F100:F111)</f>
        <v>8.9213666634634869E-2</v>
      </c>
      <c r="G112" s="398">
        <f t="shared" si="47"/>
        <v>0</v>
      </c>
      <c r="H112" s="398">
        <f t="shared" si="47"/>
        <v>7.0517219523589542E-3</v>
      </c>
      <c r="I112" s="398">
        <f t="shared" si="47"/>
        <v>7.0517219523589542E-3</v>
      </c>
      <c r="J112" s="398">
        <f t="shared" si="47"/>
        <v>3.7567090058281106E-3</v>
      </c>
      <c r="K112" s="398">
        <f>SUM(K100:K111)</f>
        <v>3.8615619236268199E-3</v>
      </c>
    </row>
    <row r="113" spans="1:11" x14ac:dyDescent="0.2">
      <c r="A113" s="225"/>
      <c r="B113" s="215"/>
      <c r="C113" s="245"/>
      <c r="E113" s="380"/>
      <c r="F113" s="381"/>
      <c r="H113" s="381"/>
      <c r="I113" s="381"/>
      <c r="J113" s="381"/>
      <c r="K113" s="381"/>
    </row>
    <row r="114" spans="1:11" x14ac:dyDescent="0.2">
      <c r="A114" s="225"/>
      <c r="B114" s="244" t="s">
        <v>949</v>
      </c>
      <c r="C114" s="245"/>
      <c r="E114" s="380"/>
      <c r="F114" s="381"/>
      <c r="H114" s="381"/>
      <c r="I114" s="381"/>
      <c r="J114" s="381"/>
      <c r="K114" s="381"/>
    </row>
    <row r="115" spans="1:11" x14ac:dyDescent="0.2">
      <c r="A115" s="836" t="s">
        <v>511</v>
      </c>
      <c r="B115" s="837" t="s">
        <v>510</v>
      </c>
      <c r="C115" s="245">
        <f t="shared" ref="C115:C123" si="48">F115*$C$125</f>
        <v>2374.3517727875637</v>
      </c>
      <c r="D115" s="374">
        <f t="shared" ref="D115:D123" si="49">C115/12</f>
        <v>197.86264773229698</v>
      </c>
      <c r="E115" s="838">
        <v>1359.87</v>
      </c>
      <c r="F115" s="381">
        <f t="shared" ref="F115:F123" si="50">E115/$E$125</f>
        <v>1.2989783132032943E-2</v>
      </c>
      <c r="H115" s="381">
        <f t="shared" ref="H115:H123" si="51">C115/$C$131</f>
        <v>1.0267523163651399E-3</v>
      </c>
      <c r="I115" s="381">
        <f t="shared" ref="I115:I123" si="52">E115/$E$131</f>
        <v>1.0267523163651399E-3</v>
      </c>
      <c r="J115" s="381">
        <f t="shared" ref="J115:J123" si="53">C115/$C$28</f>
        <v>5.4698833840909934E-4</v>
      </c>
      <c r="K115" s="381">
        <f t="shared" ref="K115:K123" si="54">E115/$E$28</f>
        <v>5.6225524441515001E-4</v>
      </c>
    </row>
    <row r="116" spans="1:11" x14ac:dyDescent="0.2">
      <c r="A116" s="836" t="s">
        <v>509</v>
      </c>
      <c r="B116" s="837" t="s">
        <v>508</v>
      </c>
      <c r="C116" s="245">
        <f t="shared" si="48"/>
        <v>33.174262012518632</v>
      </c>
      <c r="D116" s="374">
        <f t="shared" si="49"/>
        <v>2.7645218343765525</v>
      </c>
      <c r="E116" s="838">
        <v>19</v>
      </c>
      <c r="F116" s="381">
        <f t="shared" si="50"/>
        <v>1.8149225992824749E-4</v>
      </c>
      <c r="H116" s="381">
        <f t="shared" si="51"/>
        <v>1.4345705112207535E-5</v>
      </c>
      <c r="I116" s="381">
        <f t="shared" si="52"/>
        <v>1.4345705112207535E-5</v>
      </c>
      <c r="J116" s="381">
        <f t="shared" si="53"/>
        <v>7.6424793765381165E-6</v>
      </c>
      <c r="K116" s="381">
        <f t="shared" si="54"/>
        <v>7.8557874237153939E-6</v>
      </c>
    </row>
    <row r="117" spans="1:11" x14ac:dyDescent="0.2">
      <c r="A117" s="836" t="s">
        <v>507</v>
      </c>
      <c r="B117" s="837" t="s">
        <v>361</v>
      </c>
      <c r="C117" s="245">
        <f t="shared" si="48"/>
        <v>0</v>
      </c>
      <c r="D117" s="374">
        <f t="shared" si="49"/>
        <v>0</v>
      </c>
      <c r="E117" s="838">
        <v>0</v>
      </c>
      <c r="F117" s="381">
        <f t="shared" si="50"/>
        <v>0</v>
      </c>
      <c r="H117" s="381">
        <f t="shared" si="51"/>
        <v>0</v>
      </c>
      <c r="I117" s="381">
        <f t="shared" si="52"/>
        <v>0</v>
      </c>
      <c r="J117" s="381">
        <f t="shared" si="53"/>
        <v>0</v>
      </c>
      <c r="K117" s="381">
        <f t="shared" si="54"/>
        <v>0</v>
      </c>
    </row>
    <row r="118" spans="1:11" x14ac:dyDescent="0.2">
      <c r="A118" s="836" t="s">
        <v>506</v>
      </c>
      <c r="B118" s="837" t="s">
        <v>505</v>
      </c>
      <c r="C118" s="245">
        <f t="shared" si="48"/>
        <v>6612.1716833699056</v>
      </c>
      <c r="D118" s="374">
        <f t="shared" si="49"/>
        <v>551.01430694749217</v>
      </c>
      <c r="E118" s="838">
        <v>3787.01</v>
      </c>
      <c r="F118" s="381">
        <f t="shared" si="50"/>
        <v>3.6174368593203825E-2</v>
      </c>
      <c r="H118" s="381">
        <f t="shared" si="51"/>
        <v>2.8593330903674244E-3</v>
      </c>
      <c r="I118" s="381">
        <f t="shared" si="52"/>
        <v>2.8593330903674244E-3</v>
      </c>
      <c r="J118" s="381">
        <f t="shared" si="53"/>
        <v>1.5232708328286114E-3</v>
      </c>
      <c r="K118" s="381">
        <f t="shared" si="54"/>
        <v>1.5657866069202333E-3</v>
      </c>
    </row>
    <row r="119" spans="1:11" x14ac:dyDescent="0.2">
      <c r="A119" s="836" t="s">
        <v>504</v>
      </c>
      <c r="B119" s="837" t="s">
        <v>503</v>
      </c>
      <c r="C119" s="245">
        <f t="shared" si="48"/>
        <v>69.840551605302394</v>
      </c>
      <c r="D119" s="374">
        <f t="shared" si="49"/>
        <v>5.8200459671085332</v>
      </c>
      <c r="E119" s="838">
        <v>40</v>
      </c>
      <c r="F119" s="381">
        <f t="shared" si="50"/>
        <v>3.8208896826999477E-4</v>
      </c>
      <c r="H119" s="381">
        <f t="shared" si="51"/>
        <v>3.020148444675271E-5</v>
      </c>
      <c r="I119" s="381">
        <f t="shared" si="52"/>
        <v>3.0201484446752707E-5</v>
      </c>
      <c r="J119" s="381">
        <f t="shared" si="53"/>
        <v>1.6089430266396037E-5</v>
      </c>
      <c r="K119" s="381">
        <f t="shared" si="54"/>
        <v>1.653849983940083E-5</v>
      </c>
    </row>
    <row r="120" spans="1:11" x14ac:dyDescent="0.2">
      <c r="A120" s="836" t="s">
        <v>502</v>
      </c>
      <c r="B120" s="837" t="s">
        <v>501</v>
      </c>
      <c r="C120" s="245">
        <f t="shared" si="48"/>
        <v>2820.1090934084068</v>
      </c>
      <c r="D120" s="374">
        <f t="shared" si="49"/>
        <v>235.00909111736723</v>
      </c>
      <c r="E120" s="838">
        <v>1615.17</v>
      </c>
      <c r="F120" s="381">
        <f t="shared" si="50"/>
        <v>1.5428465972016187E-2</v>
      </c>
      <c r="G120" s="843"/>
      <c r="H120" s="381">
        <f t="shared" si="51"/>
        <v>1.2195132908465393E-3</v>
      </c>
      <c r="I120" s="381">
        <f t="shared" si="52"/>
        <v>1.2195132908465393E-3</v>
      </c>
      <c r="J120" s="381">
        <f t="shared" si="53"/>
        <v>6.4967912708437223E-4</v>
      </c>
      <c r="K120" s="381">
        <f t="shared" si="54"/>
        <v>6.6781221964012591E-4</v>
      </c>
    </row>
    <row r="121" spans="1:11" x14ac:dyDescent="0.2">
      <c r="A121" s="836" t="s">
        <v>500</v>
      </c>
      <c r="B121" s="837" t="s">
        <v>353</v>
      </c>
      <c r="C121" s="245">
        <f t="shared" si="48"/>
        <v>165.87131006259318</v>
      </c>
      <c r="D121" s="374">
        <f t="shared" si="49"/>
        <v>13.822609171882766</v>
      </c>
      <c r="E121" s="838">
        <v>95</v>
      </c>
      <c r="F121" s="381">
        <f t="shared" si="50"/>
        <v>9.0746129964123753E-4</v>
      </c>
      <c r="H121" s="381">
        <f t="shared" si="51"/>
        <v>7.1728525561037685E-5</v>
      </c>
      <c r="I121" s="381">
        <f t="shared" si="52"/>
        <v>7.1728525561037671E-5</v>
      </c>
      <c r="J121" s="381">
        <f t="shared" si="53"/>
        <v>3.8212396882690584E-5</v>
      </c>
      <c r="K121" s="381">
        <f t="shared" si="54"/>
        <v>3.9278937118576964E-5</v>
      </c>
    </row>
    <row r="122" spans="1:11" x14ac:dyDescent="0.2">
      <c r="A122" s="836" t="s">
        <v>499</v>
      </c>
      <c r="B122" s="837" t="s">
        <v>498</v>
      </c>
      <c r="C122" s="245">
        <f t="shared" si="48"/>
        <v>0</v>
      </c>
      <c r="D122" s="374">
        <f t="shared" si="49"/>
        <v>0</v>
      </c>
      <c r="E122" s="838">
        <v>0</v>
      </c>
      <c r="F122" s="381">
        <f t="shared" si="50"/>
        <v>0</v>
      </c>
      <c r="H122" s="381">
        <f t="shared" si="51"/>
        <v>0</v>
      </c>
      <c r="I122" s="381">
        <f t="shared" si="52"/>
        <v>0</v>
      </c>
      <c r="J122" s="381">
        <f t="shared" si="53"/>
        <v>0</v>
      </c>
      <c r="K122" s="381">
        <f t="shared" si="54"/>
        <v>0</v>
      </c>
    </row>
    <row r="123" spans="1:11" ht="12" thickBot="1" x14ac:dyDescent="0.25">
      <c r="A123" s="836" t="s">
        <v>497</v>
      </c>
      <c r="B123" s="837" t="s">
        <v>496</v>
      </c>
      <c r="C123" s="382">
        <f t="shared" si="48"/>
        <v>170710.57934346248</v>
      </c>
      <c r="D123" s="377">
        <f t="shared" si="49"/>
        <v>14225.881611955207</v>
      </c>
      <c r="E123" s="840">
        <v>97771.61</v>
      </c>
      <c r="F123" s="381">
        <f t="shared" si="50"/>
        <v>0.93393633977490753</v>
      </c>
      <c r="H123" s="381">
        <f t="shared" si="51"/>
        <v>7.3821193968724289E-2</v>
      </c>
      <c r="I123" s="381">
        <f t="shared" si="52"/>
        <v>7.3821193968724289E-2</v>
      </c>
      <c r="J123" s="381">
        <f t="shared" si="53"/>
        <v>3.9327237528206736E-2</v>
      </c>
      <c r="K123" s="381">
        <f t="shared" si="54"/>
        <v>4.042489390707401E-2</v>
      </c>
    </row>
    <row r="124" spans="1:11" x14ac:dyDescent="0.2">
      <c r="A124" s="220"/>
      <c r="B124" s="221"/>
      <c r="C124" s="245"/>
      <c r="E124" s="380"/>
      <c r="F124" s="221"/>
      <c r="G124" s="221"/>
      <c r="H124" s="221"/>
      <c r="I124" s="221"/>
      <c r="J124" s="221"/>
      <c r="K124" s="221"/>
    </row>
    <row r="125" spans="1:11" ht="12" thickBot="1" x14ac:dyDescent="0.25">
      <c r="A125" s="222" t="s">
        <v>950</v>
      </c>
      <c r="C125" s="382">
        <f>C131*H125</f>
        <v>182786.09801670877</v>
      </c>
      <c r="D125" s="377">
        <f>C125/12</f>
        <v>15232.174834725731</v>
      </c>
      <c r="E125" s="405">
        <f>SUM(E114:E124)</f>
        <v>104687.66</v>
      </c>
      <c r="F125" s="381">
        <f>SUM(F99:F124)</f>
        <v>1.1784273332692696</v>
      </c>
      <c r="H125" s="385">
        <f>I125</f>
        <v>7.9043068381423387E-2</v>
      </c>
      <c r="I125" s="385">
        <f>E125/$E$131</f>
        <v>7.9043068381423387E-2</v>
      </c>
      <c r="J125" s="381">
        <f>C125/$C$28</f>
        <v>4.2109120133054442E-2</v>
      </c>
      <c r="K125" s="381">
        <f>E125/$E$28</f>
        <v>4.3284421202431214E-2</v>
      </c>
    </row>
    <row r="126" spans="1:11" ht="12" thickTop="1" x14ac:dyDescent="0.2">
      <c r="A126" s="220"/>
      <c r="B126" s="221"/>
      <c r="C126" s="245"/>
      <c r="E126" s="406"/>
      <c r="F126" s="231"/>
      <c r="G126" s="221"/>
      <c r="H126" s="210"/>
      <c r="I126" s="210"/>
      <c r="J126" s="221"/>
      <c r="K126" s="221"/>
    </row>
    <row r="127" spans="1:11" x14ac:dyDescent="0.2">
      <c r="C127" s="245"/>
      <c r="E127" s="380"/>
    </row>
    <row r="128" spans="1:11" ht="12" thickBot="1" x14ac:dyDescent="0.25">
      <c r="A128" s="222" t="s">
        <v>201</v>
      </c>
      <c r="C128" s="382">
        <f>C125+C97</f>
        <v>913331.88671573461</v>
      </c>
      <c r="D128" s="377">
        <f>C128/12</f>
        <v>76110.990559644546</v>
      </c>
      <c r="E128" s="405">
        <f>E97+E112+E125</f>
        <v>532435.03</v>
      </c>
      <c r="H128" s="381">
        <f>C128/$C$131</f>
        <v>0.39495648498392377</v>
      </c>
      <c r="I128" s="381">
        <f>E128/$E$131</f>
        <v>0.40200820693628275</v>
      </c>
      <c r="J128" s="381">
        <f>C128/$C$28</f>
        <v>0.21040769815845889</v>
      </c>
      <c r="K128" s="381">
        <f>E128/$E$28</f>
        <v>0.22014191645365938</v>
      </c>
    </row>
    <row r="129" spans="1:11" x14ac:dyDescent="0.2">
      <c r="A129" s="220"/>
      <c r="B129" s="221"/>
      <c r="C129" s="245"/>
      <c r="E129" s="406"/>
      <c r="F129" s="221"/>
      <c r="G129" s="221"/>
      <c r="H129" s="221"/>
      <c r="I129" s="221"/>
      <c r="J129" s="221"/>
      <c r="K129" s="221"/>
    </row>
    <row r="130" spans="1:11" x14ac:dyDescent="0.2">
      <c r="C130" s="245"/>
      <c r="E130" s="380"/>
    </row>
    <row r="131" spans="1:11" s="409" customFormat="1" ht="12" thickBot="1" x14ac:dyDescent="0.25">
      <c r="A131" s="256"/>
      <c r="B131" s="212" t="s">
        <v>31</v>
      </c>
      <c r="C131" s="407">
        <f>C140+C137</f>
        <v>2312487.3788384832</v>
      </c>
      <c r="D131" s="277">
        <f>C131/12</f>
        <v>192707.28156987359</v>
      </c>
      <c r="E131" s="384">
        <f>E78-E128</f>
        <v>1324438.2100000002</v>
      </c>
      <c r="F131" s="275"/>
      <c r="G131" s="275"/>
      <c r="H131" s="408">
        <f>C131/$C$131</f>
        <v>1</v>
      </c>
      <c r="I131" s="408">
        <f>E131/$E$131</f>
        <v>1</v>
      </c>
      <c r="J131" s="408">
        <f>C131/$C$28</f>
        <v>0.53273640554863477</v>
      </c>
      <c r="K131" s="408">
        <f>E131/$E$28</f>
        <v>0.54760552808453311</v>
      </c>
    </row>
    <row r="132" spans="1:11" s="204" customFormat="1" x14ac:dyDescent="0.2">
      <c r="A132" s="239"/>
      <c r="B132" s="410" t="s">
        <v>176</v>
      </c>
      <c r="C132" s="411">
        <f>C131/C137</f>
        <v>3.8140606926114775</v>
      </c>
      <c r="D132" s="392"/>
      <c r="E132" s="380"/>
      <c r="H132" s="210"/>
      <c r="I132" s="210"/>
    </row>
    <row r="133" spans="1:11" ht="12" thickBot="1" x14ac:dyDescent="0.25">
      <c r="A133" s="211"/>
      <c r="B133" s="212" t="s">
        <v>49</v>
      </c>
      <c r="C133" s="382"/>
      <c r="D133" s="377"/>
      <c r="E133" s="383"/>
      <c r="F133" s="379"/>
      <c r="G133" s="379"/>
      <c r="H133" s="379"/>
      <c r="I133" s="379"/>
      <c r="J133" s="379"/>
      <c r="K133" s="379"/>
    </row>
    <row r="134" spans="1:11" ht="12" thickBot="1" x14ac:dyDescent="0.25">
      <c r="A134" s="214" t="s">
        <v>495</v>
      </c>
      <c r="B134" s="215" t="s">
        <v>1091</v>
      </c>
      <c r="C134" s="846">
        <f>'Tab-21 Labor Budget'!AO35</f>
        <v>27039.948</v>
      </c>
      <c r="D134" s="374">
        <f>C134/12</f>
        <v>2253.3290000000002</v>
      </c>
      <c r="E134" s="838">
        <v>86605.84</v>
      </c>
      <c r="H134" s="381">
        <f>C134/$C$131</f>
        <v>1.1693014304614986E-2</v>
      </c>
      <c r="I134" s="381">
        <f>E134/$E$131</f>
        <v>6.5390623243948828E-2</v>
      </c>
      <c r="J134" s="381">
        <f>C134/$C$28</f>
        <v>6.2292944106693568E-3</v>
      </c>
      <c r="K134" s="381">
        <f>E134/$E$28</f>
        <v>3.5808266773279342E-2</v>
      </c>
    </row>
    <row r="135" spans="1:11" ht="12.75" thickTop="1" thickBot="1" x14ac:dyDescent="0.25">
      <c r="A135" s="214" t="s">
        <v>494</v>
      </c>
      <c r="B135" s="215" t="s">
        <v>1092</v>
      </c>
      <c r="C135" s="846">
        <f>'Tab-21 Labor Budget'!AO36</f>
        <v>579265.92000000004</v>
      </c>
      <c r="D135" s="377">
        <f>C135/12</f>
        <v>48272.160000000003</v>
      </c>
      <c r="E135" s="840">
        <v>669533.80000000005</v>
      </c>
      <c r="H135" s="381">
        <f>C135/$C$131</f>
        <v>0.25049473796088517</v>
      </c>
      <c r="I135" s="381">
        <f>E135/$E$131</f>
        <v>0.50552286618188091</v>
      </c>
      <c r="J135" s="381">
        <f>C135/$C$28</f>
        <v>0.13344766631012911</v>
      </c>
      <c r="K135" s="381">
        <f>E135/$E$28</f>
        <v>0.27682711609433569</v>
      </c>
    </row>
    <row r="136" spans="1:11" ht="12" thickTop="1" x14ac:dyDescent="0.2">
      <c r="A136" s="220"/>
      <c r="B136" s="221"/>
      <c r="C136" s="245"/>
      <c r="E136" s="380"/>
      <c r="F136" s="221"/>
      <c r="G136" s="221"/>
      <c r="H136" s="221"/>
      <c r="I136" s="221"/>
      <c r="J136" s="221"/>
      <c r="K136" s="221"/>
    </row>
    <row r="137" spans="1:11" s="193" customFormat="1" ht="12" thickBot="1" x14ac:dyDescent="0.25">
      <c r="A137" s="258"/>
      <c r="B137" s="222" t="s">
        <v>493</v>
      </c>
      <c r="C137" s="223">
        <f t="shared" ref="C137:E137" si="55">SUM(C134:C135)</f>
        <v>606305.86800000002</v>
      </c>
      <c r="D137" s="384">
        <f t="shared" si="55"/>
        <v>50525.489000000001</v>
      </c>
      <c r="E137" s="405">
        <f t="shared" si="55"/>
        <v>756139.64</v>
      </c>
      <c r="H137" s="412">
        <f>C137/$C$131</f>
        <v>0.26218775226550012</v>
      </c>
      <c r="I137" s="412">
        <f>E137/$E$131</f>
        <v>0.57091348942582976</v>
      </c>
      <c r="J137" s="412">
        <f>C137/$C$28</f>
        <v>0.13967696072079847</v>
      </c>
      <c r="K137" s="412">
        <f>E137/$E$28</f>
        <v>0.312635382867615</v>
      </c>
    </row>
    <row r="138" spans="1:11" x14ac:dyDescent="0.2">
      <c r="A138" s="220"/>
      <c r="B138" s="221"/>
      <c r="C138" s="245"/>
      <c r="E138" s="406"/>
      <c r="F138" s="221"/>
      <c r="G138" s="221"/>
      <c r="H138" s="221"/>
      <c r="I138" s="221"/>
      <c r="J138" s="221"/>
      <c r="K138" s="221"/>
    </row>
    <row r="139" spans="1:11" x14ac:dyDescent="0.2">
      <c r="C139" s="245"/>
      <c r="E139" s="380"/>
    </row>
    <row r="140" spans="1:11" s="204" customFormat="1" ht="12" thickBot="1" x14ac:dyDescent="0.25">
      <c r="A140" s="211"/>
      <c r="B140" s="212" t="s">
        <v>492</v>
      </c>
      <c r="C140" s="382">
        <f>C322+C319</f>
        <v>1706181.510838483</v>
      </c>
      <c r="D140" s="377">
        <f>C140/12</f>
        <v>142181.79256987359</v>
      </c>
      <c r="E140" s="384">
        <f t="shared" ref="E140" si="56">E131-E137</f>
        <v>568298.57000000018</v>
      </c>
      <c r="F140" s="213"/>
      <c r="G140" s="213"/>
      <c r="H140" s="385">
        <f>C140/$C$131</f>
        <v>0.73781224773449972</v>
      </c>
      <c r="I140" s="385">
        <f>E140/$E$131</f>
        <v>0.42908651057417024</v>
      </c>
      <c r="J140" s="385">
        <f>C140/$C$28</f>
        <v>0.39305944482783622</v>
      </c>
      <c r="K140" s="385">
        <f>E140/$E$28</f>
        <v>0.23497014521691809</v>
      </c>
    </row>
    <row r="141" spans="1:11" s="204" customFormat="1" x14ac:dyDescent="0.2">
      <c r="A141" s="239"/>
      <c r="B141" s="210"/>
      <c r="C141" s="232"/>
      <c r="D141" s="392"/>
      <c r="E141" s="380"/>
    </row>
    <row r="142" spans="1:11" x14ac:dyDescent="0.2">
      <c r="B142" s="249" t="s">
        <v>491</v>
      </c>
      <c r="C142" s="245"/>
      <c r="E142" s="380"/>
    </row>
    <row r="143" spans="1:11" ht="12" thickBot="1" x14ac:dyDescent="0.25">
      <c r="A143" s="211"/>
      <c r="B143" s="212" t="s">
        <v>50</v>
      </c>
      <c r="C143" s="382"/>
      <c r="D143" s="377"/>
      <c r="E143" s="383"/>
      <c r="F143" s="379"/>
      <c r="G143" s="379"/>
      <c r="H143" s="379"/>
      <c r="I143" s="379"/>
      <c r="J143" s="379"/>
      <c r="K143" s="379"/>
    </row>
    <row r="144" spans="1:11" ht="12" thickBot="1" x14ac:dyDescent="0.25">
      <c r="A144" s="214" t="s">
        <v>490</v>
      </c>
      <c r="B144" s="215" t="s">
        <v>1093</v>
      </c>
      <c r="C144" s="846">
        <f>'Tab-21 Labor Budget'!AP35</f>
        <v>12303.976338461538</v>
      </c>
      <c r="D144" s="374">
        <f>C144/12</f>
        <v>1025.3313615384616</v>
      </c>
      <c r="E144" s="838">
        <v>-1650.4</v>
      </c>
      <c r="F144" s="381">
        <f t="shared" ref="F144:F150" si="57">C144/$C$319</f>
        <v>9.2258860331914921E-3</v>
      </c>
      <c r="H144" s="381">
        <f t="shared" ref="H144:H150" si="58">C144/$C$131</f>
        <v>5.3206674557685942E-3</v>
      </c>
      <c r="I144" s="381">
        <f t="shared" ref="I144:I150" si="59">E144/$E$131</f>
        <v>-1.2461132482730168E-3</v>
      </c>
      <c r="J144" s="381">
        <f t="shared" ref="J144:J150" si="60">C144/$C$28</f>
        <v>2.8345132555057605E-3</v>
      </c>
      <c r="K144" s="381">
        <f t="shared" ref="K144:K150" si="61">E144/$E$28</f>
        <v>-6.8237850337367822E-4</v>
      </c>
    </row>
    <row r="145" spans="1:11" ht="12" thickTop="1" x14ac:dyDescent="0.2">
      <c r="A145" s="214" t="s">
        <v>489</v>
      </c>
      <c r="B145" s="215" t="s">
        <v>1094</v>
      </c>
      <c r="C145" s="245">
        <v>0</v>
      </c>
      <c r="E145" s="838">
        <v>64278.77</v>
      </c>
      <c r="F145" s="381">
        <f t="shared" si="57"/>
        <v>0</v>
      </c>
      <c r="H145" s="381">
        <f t="shared" si="58"/>
        <v>0</v>
      </c>
      <c r="I145" s="381">
        <f t="shared" si="59"/>
        <v>4.8532856810284859E-2</v>
      </c>
      <c r="J145" s="381">
        <f t="shared" si="60"/>
        <v>0</v>
      </c>
      <c r="K145" s="381">
        <f t="shared" si="61"/>
        <v>2.6576860683047068E-2</v>
      </c>
    </row>
    <row r="146" spans="1:11" ht="12" thickBot="1" x14ac:dyDescent="0.25">
      <c r="A146" s="214" t="s">
        <v>488</v>
      </c>
      <c r="B146" s="215" t="s">
        <v>1095</v>
      </c>
      <c r="C146" s="846">
        <f>'Tab-21 Labor Budget'!AP36</f>
        <v>137835.58301538462</v>
      </c>
      <c r="D146" s="374">
        <f>C146/12</f>
        <v>11486.298584615384</v>
      </c>
      <c r="E146" s="838">
        <v>343658.43</v>
      </c>
      <c r="F146" s="381">
        <f t="shared" si="57"/>
        <v>0.10335320430057397</v>
      </c>
      <c r="H146" s="381">
        <f t="shared" si="58"/>
        <v>5.960490175069267E-2</v>
      </c>
      <c r="I146" s="381">
        <f t="shared" si="59"/>
        <v>0.25947486821601135</v>
      </c>
      <c r="J146" s="381">
        <f t="shared" si="60"/>
        <v>3.175370111174354E-2</v>
      </c>
      <c r="K146" s="381">
        <f t="shared" si="61"/>
        <v>0.14208987223409353</v>
      </c>
    </row>
    <row r="147" spans="1:11" ht="12.75" thickTop="1" thickBot="1" x14ac:dyDescent="0.25">
      <c r="A147" s="214" t="s">
        <v>487</v>
      </c>
      <c r="B147" s="215" t="s">
        <v>1096</v>
      </c>
      <c r="C147" s="846">
        <f>'Tab-21 Labor Budget'!AR38</f>
        <v>406255.16816538456</v>
      </c>
      <c r="D147" s="374">
        <f>C147/12</f>
        <v>33854.597347115377</v>
      </c>
      <c r="E147" s="838">
        <v>169079.33</v>
      </c>
      <c r="F147" s="381">
        <f t="shared" si="57"/>
        <v>0.30462216268838599</v>
      </c>
      <c r="H147" s="381">
        <f t="shared" si="58"/>
        <v>0.17567886937806274</v>
      </c>
      <c r="I147" s="381">
        <f t="shared" si="59"/>
        <v>0.12766116888155921</v>
      </c>
      <c r="J147" s="381">
        <f t="shared" si="60"/>
        <v>9.359052940331726E-2</v>
      </c>
      <c r="K147" s="381">
        <f t="shared" si="61"/>
        <v>6.9907961801274981E-2</v>
      </c>
    </row>
    <row r="148" spans="1:11" ht="12" thickTop="1" x14ac:dyDescent="0.2">
      <c r="A148" s="214" t="s">
        <v>486</v>
      </c>
      <c r="B148" s="215" t="s">
        <v>485</v>
      </c>
      <c r="C148" s="245">
        <v>0</v>
      </c>
      <c r="D148" s="374">
        <f>C148/12</f>
        <v>0</v>
      </c>
      <c r="E148" s="838">
        <v>-211103.53</v>
      </c>
      <c r="F148" s="381">
        <f t="shared" si="57"/>
        <v>0</v>
      </c>
      <c r="H148" s="381">
        <f t="shared" si="58"/>
        <v>0</v>
      </c>
      <c r="I148" s="381">
        <f t="shared" si="59"/>
        <v>-0.15939099944873983</v>
      </c>
      <c r="J148" s="381">
        <f t="shared" si="60"/>
        <v>0</v>
      </c>
      <c r="K148" s="381">
        <f t="shared" si="61"/>
        <v>-8.7283392425048692E-2</v>
      </c>
    </row>
    <row r="149" spans="1:11" x14ac:dyDescent="0.2">
      <c r="A149" s="214" t="s">
        <v>484</v>
      </c>
      <c r="B149" s="215" t="s">
        <v>483</v>
      </c>
      <c r="C149" s="245">
        <v>0</v>
      </c>
      <c r="D149" s="374">
        <f>C149/12</f>
        <v>0</v>
      </c>
      <c r="E149" s="838">
        <v>0</v>
      </c>
      <c r="F149" s="381">
        <f t="shared" si="57"/>
        <v>0</v>
      </c>
      <c r="H149" s="381">
        <f t="shared" si="58"/>
        <v>0</v>
      </c>
      <c r="I149" s="381">
        <f t="shared" si="59"/>
        <v>0</v>
      </c>
      <c r="J149" s="381">
        <f t="shared" si="60"/>
        <v>0</v>
      </c>
      <c r="K149" s="381">
        <f t="shared" si="61"/>
        <v>0</v>
      </c>
    </row>
    <row r="150" spans="1:11" ht="12" thickBot="1" x14ac:dyDescent="0.25">
      <c r="A150" s="214" t="s">
        <v>482</v>
      </c>
      <c r="B150" s="215" t="s">
        <v>481</v>
      </c>
      <c r="C150" s="382">
        <v>0</v>
      </c>
      <c r="D150" s="377">
        <f>C150/12</f>
        <v>0</v>
      </c>
      <c r="E150" s="840">
        <v>701.5</v>
      </c>
      <c r="F150" s="381">
        <f t="shared" si="57"/>
        <v>0</v>
      </c>
      <c r="H150" s="381">
        <f t="shared" si="58"/>
        <v>0</v>
      </c>
      <c r="I150" s="381">
        <f t="shared" si="59"/>
        <v>5.2965853348492563E-4</v>
      </c>
      <c r="J150" s="381">
        <f t="shared" si="60"/>
        <v>0</v>
      </c>
      <c r="K150" s="381">
        <f t="shared" si="61"/>
        <v>2.9004394093349201E-4</v>
      </c>
    </row>
    <row r="151" spans="1:11" x14ac:dyDescent="0.2">
      <c r="A151" s="220"/>
      <c r="B151" s="221"/>
      <c r="C151" s="245"/>
      <c r="E151" s="380"/>
      <c r="F151" s="221"/>
      <c r="G151" s="221"/>
      <c r="H151" s="221"/>
      <c r="I151" s="221"/>
      <c r="J151" s="221"/>
      <c r="K151" s="221"/>
    </row>
    <row r="152" spans="1:11" ht="12" thickBot="1" x14ac:dyDescent="0.25">
      <c r="A152" s="211"/>
      <c r="B152" s="212" t="s">
        <v>480</v>
      </c>
      <c r="C152" s="382">
        <f>SUM(C143:C151)</f>
        <v>556394.72751923068</v>
      </c>
      <c r="D152" s="377">
        <f>C152/12</f>
        <v>46366.227293269221</v>
      </c>
      <c r="E152" s="384">
        <f t="shared" ref="E152" si="62">SUM(E143:E151)</f>
        <v>364964.1</v>
      </c>
      <c r="F152" s="385">
        <f>C152/$C$319</f>
        <v>0.41720125302215144</v>
      </c>
      <c r="G152" s="213"/>
      <c r="H152" s="385">
        <f>C152/$C$131</f>
        <v>0.24060443858452399</v>
      </c>
      <c r="I152" s="385">
        <f>E152/$E$131</f>
        <v>0.27556143974432745</v>
      </c>
      <c r="J152" s="385">
        <f>C152/$C$28</f>
        <v>0.12817874377056657</v>
      </c>
      <c r="K152" s="385">
        <f>E152/$E$28</f>
        <v>0.15089896773092668</v>
      </c>
    </row>
    <row r="153" spans="1:11" x14ac:dyDescent="0.2">
      <c r="C153" s="245"/>
      <c r="E153" s="380"/>
    </row>
    <row r="154" spans="1:11" ht="12" thickBot="1" x14ac:dyDescent="0.25">
      <c r="A154" s="211"/>
      <c r="B154" s="212" t="s">
        <v>479</v>
      </c>
      <c r="C154" s="382"/>
      <c r="D154" s="377"/>
      <c r="E154" s="383"/>
      <c r="F154" s="379"/>
      <c r="G154" s="379"/>
      <c r="H154" s="379"/>
      <c r="I154" s="379"/>
      <c r="J154" s="379"/>
      <c r="K154" s="379"/>
    </row>
    <row r="155" spans="1:11" ht="12" thickBot="1" x14ac:dyDescent="0.25">
      <c r="A155" s="214" t="s">
        <v>478</v>
      </c>
      <c r="B155" s="215" t="s">
        <v>725</v>
      </c>
      <c r="C155" s="846">
        <f>'Tab-21 Labor Budget'!AU38</f>
        <v>37439.754461538469</v>
      </c>
      <c r="D155" s="374">
        <f>C155/12</f>
        <v>3119.9795384615391</v>
      </c>
      <c r="E155" s="838">
        <v>47897.19</v>
      </c>
      <c r="F155" s="381">
        <f>C155/$C$319</f>
        <v>2.8073437258902965E-2</v>
      </c>
      <c r="H155" s="381">
        <f>C155/$C$131</f>
        <v>1.6190252454629059E-2</v>
      </c>
      <c r="I155" s="381">
        <f>E155/$E$131</f>
        <v>3.6164155970703986E-2</v>
      </c>
      <c r="J155" s="381">
        <f>C155/$C$28</f>
        <v>8.6251368976040452E-3</v>
      </c>
      <c r="K155" s="381">
        <f>E155/$E$28</f>
        <v>1.9803691728068774E-2</v>
      </c>
    </row>
    <row r="156" spans="1:11" ht="12.75" thickTop="1" thickBot="1" x14ac:dyDescent="0.25">
      <c r="A156" s="214" t="s">
        <v>477</v>
      </c>
      <c r="B156" s="215" t="s">
        <v>724</v>
      </c>
      <c r="C156" s="846">
        <f>'Tab-21 Labor Budget'!AV38</f>
        <v>46799.693076923075</v>
      </c>
      <c r="D156" s="374">
        <f>C156/12</f>
        <v>3899.9744230769229</v>
      </c>
      <c r="E156" s="838">
        <v>46820.97</v>
      </c>
      <c r="F156" s="381">
        <f>C156/$C$319</f>
        <v>3.5091796573628702E-2</v>
      </c>
      <c r="H156" s="381">
        <f>C156/$C$131</f>
        <v>2.0237815568286317E-2</v>
      </c>
      <c r="I156" s="381">
        <f>E156/$E$131</f>
        <v>3.5351569930921874E-2</v>
      </c>
      <c r="J156" s="381">
        <f>C156/$C$28</f>
        <v>1.0781421122005053E-2</v>
      </c>
      <c r="K156" s="381">
        <f>E156/$E$28</f>
        <v>1.9358715120639775E-2</v>
      </c>
    </row>
    <row r="157" spans="1:11" ht="12.75" thickTop="1" thickBot="1" x14ac:dyDescent="0.25">
      <c r="A157" s="214" t="s">
        <v>476</v>
      </c>
      <c r="B157" s="215" t="s">
        <v>1097</v>
      </c>
      <c r="C157" s="846">
        <f>'Tab-21 Labor Budget'!AW38</f>
        <v>0</v>
      </c>
      <c r="D157" s="377">
        <f>C157/12</f>
        <v>0</v>
      </c>
      <c r="E157" s="840">
        <v>-11841.32</v>
      </c>
      <c r="F157" s="381">
        <f>C157/$C$319</f>
        <v>0</v>
      </c>
      <c r="H157" s="381">
        <f>C157/$C$131</f>
        <v>0</v>
      </c>
      <c r="I157" s="381">
        <f>E157/$E$131</f>
        <v>-8.9406360452255439E-3</v>
      </c>
      <c r="J157" s="381">
        <f>C157/$C$28</f>
        <v>0</v>
      </c>
      <c r="K157" s="381">
        <f>E157/$E$28</f>
        <v>-4.895941722957345E-3</v>
      </c>
    </row>
    <row r="158" spans="1:11" ht="12" thickTop="1" x14ac:dyDescent="0.2">
      <c r="A158" s="220"/>
      <c r="B158" s="221"/>
      <c r="C158" s="245"/>
      <c r="E158" s="380"/>
      <c r="F158" s="221"/>
      <c r="G158" s="221"/>
      <c r="H158" s="221"/>
      <c r="I158" s="221"/>
      <c r="J158" s="221"/>
      <c r="K158" s="221"/>
    </row>
    <row r="159" spans="1:11" ht="12" thickBot="1" x14ac:dyDescent="0.25">
      <c r="A159" s="211"/>
      <c r="B159" s="212" t="s">
        <v>475</v>
      </c>
      <c r="C159" s="382">
        <f>SUM(C154:C158)</f>
        <v>84239.447538461536</v>
      </c>
      <c r="D159" s="377">
        <f>C159/12</f>
        <v>7019.953961538461</v>
      </c>
      <c r="E159" s="384">
        <f t="shared" ref="E159" si="63">SUM(E154:E158)</f>
        <v>82876.84</v>
      </c>
      <c r="F159" s="385">
        <f>C159/$C$319</f>
        <v>6.3165233832531656E-2</v>
      </c>
      <c r="G159" s="213"/>
      <c r="H159" s="385">
        <f>C159/$C$131</f>
        <v>3.6428068022915372E-2</v>
      </c>
      <c r="I159" s="385">
        <f>E159/$E$131</f>
        <v>6.2575089856400312E-2</v>
      </c>
      <c r="J159" s="385">
        <f>C159/$C$28</f>
        <v>1.9406558019609096E-2</v>
      </c>
      <c r="K159" s="385">
        <f>E159/$E$28</f>
        <v>3.4266465125751204E-2</v>
      </c>
    </row>
    <row r="160" spans="1:11" x14ac:dyDescent="0.2">
      <c r="C160" s="245"/>
      <c r="E160" s="380"/>
    </row>
    <row r="161" spans="1:11" ht="12" thickBot="1" x14ac:dyDescent="0.25">
      <c r="A161" s="211"/>
      <c r="B161" s="212" t="s">
        <v>474</v>
      </c>
      <c r="C161" s="382"/>
      <c r="D161" s="377"/>
      <c r="E161" s="383"/>
      <c r="F161" s="379"/>
      <c r="G161" s="379"/>
      <c r="H161" s="379"/>
      <c r="I161" s="379"/>
      <c r="J161" s="379"/>
      <c r="K161" s="379"/>
    </row>
    <row r="162" spans="1:11" ht="12" thickBot="1" x14ac:dyDescent="0.25">
      <c r="A162" s="214" t="s">
        <v>473</v>
      </c>
      <c r="B162" s="215" t="s">
        <v>1098</v>
      </c>
      <c r="C162" s="846">
        <f>'Tab-21 Labor Budget'!BA38</f>
        <v>76981.070639199999</v>
      </c>
      <c r="D162" s="374">
        <f t="shared" ref="D162:D167" si="64">C162/12</f>
        <v>6415.089219933333</v>
      </c>
      <c r="E162" s="838">
        <v>89737.63</v>
      </c>
      <c r="F162" s="381">
        <f t="shared" ref="F162:F167" si="65">C162/$C$319</f>
        <v>5.7722687763159912E-2</v>
      </c>
      <c r="H162" s="381">
        <f t="shared" ref="H162:H167" si="66">C162/$C$131</f>
        <v>3.3289293314053059E-2</v>
      </c>
      <c r="I162" s="381">
        <f t="shared" ref="I162:I167" si="67">E162/$E$131</f>
        <v>6.7755240918336235E-2</v>
      </c>
      <c r="J162" s="381">
        <f t="shared" ref="J162:J167" si="68">C162/$C$28</f>
        <v>1.7734418463382823E-2</v>
      </c>
      <c r="K162" s="381">
        <f t="shared" ref="K162:K167" si="69">E162/$E$28</f>
        <v>3.7103144483580278E-2</v>
      </c>
    </row>
    <row r="163" spans="1:11" ht="12.75" thickTop="1" thickBot="1" x14ac:dyDescent="0.25">
      <c r="A163" s="214" t="s">
        <v>472</v>
      </c>
      <c r="B163" s="215" t="s">
        <v>1099</v>
      </c>
      <c r="C163" s="846">
        <f>'Tab-21 Labor Budget'!BB38</f>
        <v>18080.630624336536</v>
      </c>
      <c r="D163" s="374">
        <f t="shared" si="64"/>
        <v>1506.7192186947113</v>
      </c>
      <c r="E163" s="838">
        <v>0</v>
      </c>
      <c r="F163" s="381">
        <f t="shared" si="65"/>
        <v>1.3557392582666358E-2</v>
      </c>
      <c r="H163" s="381">
        <f t="shared" si="66"/>
        <v>7.8186937536576222E-3</v>
      </c>
      <c r="I163" s="381">
        <f t="shared" si="67"/>
        <v>0</v>
      </c>
      <c r="J163" s="381">
        <f t="shared" si="68"/>
        <v>4.1653028064091244E-3</v>
      </c>
      <c r="K163" s="381">
        <f t="shared" si="69"/>
        <v>0</v>
      </c>
    </row>
    <row r="164" spans="1:11" ht="12.75" thickTop="1" thickBot="1" x14ac:dyDescent="0.25">
      <c r="A164" s="214" t="s">
        <v>471</v>
      </c>
      <c r="B164" s="215" t="s">
        <v>1100</v>
      </c>
      <c r="C164" s="846">
        <f>'Tab-21 Labor Budget'!BD38</f>
        <v>1288</v>
      </c>
      <c r="D164" s="374">
        <f t="shared" si="64"/>
        <v>107.33333333333333</v>
      </c>
      <c r="E164" s="838">
        <v>1633.92</v>
      </c>
      <c r="F164" s="381">
        <f t="shared" si="65"/>
        <v>9.6578056425590129E-4</v>
      </c>
      <c r="H164" s="381">
        <f t="shared" si="66"/>
        <v>5.5697601283641904E-4</v>
      </c>
      <c r="I164" s="381">
        <f t="shared" si="67"/>
        <v>1.2336702366809546E-3</v>
      </c>
      <c r="J164" s="381">
        <f t="shared" si="68"/>
        <v>2.967213990552841E-4</v>
      </c>
      <c r="K164" s="381">
        <f t="shared" si="69"/>
        <v>6.7556464143984506E-4</v>
      </c>
    </row>
    <row r="165" spans="1:11" ht="12.75" thickTop="1" thickBot="1" x14ac:dyDescent="0.25">
      <c r="A165" s="214" t="s">
        <v>470</v>
      </c>
      <c r="B165" s="215" t="s">
        <v>1101</v>
      </c>
      <c r="C165" s="846">
        <f>'Tab-21 Labor Budget'!BE38</f>
        <v>3772.2300000000023</v>
      </c>
      <c r="D165" s="374">
        <f t="shared" si="64"/>
        <v>314.35250000000019</v>
      </c>
      <c r="E165" s="838">
        <v>6314.16</v>
      </c>
      <c r="F165" s="381">
        <f t="shared" si="65"/>
        <v>2.8285298275644724E-3</v>
      </c>
      <c r="H165" s="381">
        <f t="shared" si="66"/>
        <v>1.6312434975946633E-3</v>
      </c>
      <c r="I165" s="381">
        <f t="shared" si="67"/>
        <v>4.7674251258577015E-3</v>
      </c>
      <c r="J165" s="381">
        <f t="shared" si="68"/>
        <v>8.6902279748316393E-4</v>
      </c>
      <c r="K165" s="381">
        <f t="shared" si="69"/>
        <v>2.6106683536487782E-3</v>
      </c>
    </row>
    <row r="166" spans="1:11" ht="12.75" thickTop="1" thickBot="1" x14ac:dyDescent="0.25">
      <c r="A166" s="214" t="s">
        <v>469</v>
      </c>
      <c r="B166" s="215" t="s">
        <v>1102</v>
      </c>
      <c r="C166" s="846">
        <f>'Tab-21 Labor Budget'!BF38</f>
        <v>8972.1747032884632</v>
      </c>
      <c r="D166" s="374">
        <f t="shared" si="64"/>
        <v>747.68122527403864</v>
      </c>
      <c r="E166" s="838">
        <v>4465.17</v>
      </c>
      <c r="F166" s="381">
        <f t="shared" si="65"/>
        <v>6.7276024437456956E-3</v>
      </c>
      <c r="H166" s="381">
        <f t="shared" si="66"/>
        <v>3.879880506761948E-3</v>
      </c>
      <c r="I166" s="381">
        <f t="shared" si="67"/>
        <v>3.3713690576776694E-3</v>
      </c>
      <c r="J166" s="381">
        <f t="shared" si="68"/>
        <v>2.0669535951305757E-3</v>
      </c>
      <c r="K166" s="381">
        <f t="shared" si="69"/>
        <v>1.8461803331974349E-3</v>
      </c>
    </row>
    <row r="167" spans="1:11" ht="12.75" thickTop="1" thickBot="1" x14ac:dyDescent="0.25">
      <c r="A167" s="225" t="s">
        <v>468</v>
      </c>
      <c r="B167" s="215" t="s">
        <v>467</v>
      </c>
      <c r="C167" s="713">
        <v>0</v>
      </c>
      <c r="D167" s="377">
        <f t="shared" si="64"/>
        <v>0</v>
      </c>
      <c r="E167" s="840">
        <v>0</v>
      </c>
      <c r="F167" s="381">
        <f t="shared" si="65"/>
        <v>0</v>
      </c>
      <c r="H167" s="381">
        <f t="shared" si="66"/>
        <v>0</v>
      </c>
      <c r="I167" s="381">
        <f t="shared" si="67"/>
        <v>0</v>
      </c>
      <c r="J167" s="381">
        <f t="shared" si="68"/>
        <v>0</v>
      </c>
      <c r="K167" s="381">
        <f t="shared" si="69"/>
        <v>0</v>
      </c>
    </row>
    <row r="168" spans="1:11" x14ac:dyDescent="0.2">
      <c r="A168" s="220"/>
      <c r="B168" s="221"/>
      <c r="C168" s="245"/>
      <c r="E168" s="380"/>
      <c r="F168" s="221"/>
      <c r="G168" s="221"/>
      <c r="H168" s="221"/>
      <c r="I168" s="221"/>
      <c r="J168" s="221"/>
      <c r="K168" s="221"/>
    </row>
    <row r="169" spans="1:11" ht="12" thickBot="1" x14ac:dyDescent="0.25">
      <c r="A169" s="211"/>
      <c r="B169" s="212" t="s">
        <v>466</v>
      </c>
      <c r="C169" s="382">
        <f>SUM(C161:C168)</f>
        <v>109094.10596682499</v>
      </c>
      <c r="D169" s="377">
        <f>C169/12</f>
        <v>9091.1754972354156</v>
      </c>
      <c r="E169" s="384">
        <f t="shared" ref="E169" si="70">SUM(E161:E168)</f>
        <v>102150.88</v>
      </c>
      <c r="F169" s="385">
        <f>C169/$C$319</f>
        <v>8.1801993181392335E-2</v>
      </c>
      <c r="G169" s="213"/>
      <c r="H169" s="385">
        <f>C169/$C$131</f>
        <v>4.7176087084903708E-2</v>
      </c>
      <c r="I169" s="385">
        <f>E169/$E$131</f>
        <v>7.7127705338552552E-2</v>
      </c>
      <c r="J169" s="385">
        <f>C169/$C$28</f>
        <v>2.5132419061460971E-2</v>
      </c>
      <c r="K169" s="385">
        <f>E169/$E$28</f>
        <v>4.2235557811866331E-2</v>
      </c>
    </row>
    <row r="170" spans="1:11" x14ac:dyDescent="0.2">
      <c r="C170" s="245"/>
      <c r="E170" s="380"/>
    </row>
    <row r="171" spans="1:11" x14ac:dyDescent="0.2">
      <c r="A171" s="239"/>
      <c r="B171" s="240" t="s">
        <v>465</v>
      </c>
      <c r="C171" s="232"/>
      <c r="D171" s="392"/>
      <c r="E171" s="413"/>
      <c r="F171" s="210"/>
      <c r="G171" s="210"/>
      <c r="H171" s="210"/>
      <c r="I171" s="210"/>
      <c r="J171" s="210"/>
      <c r="K171" s="210"/>
    </row>
    <row r="172" spans="1:11" ht="12" thickBot="1" x14ac:dyDescent="0.25">
      <c r="A172" s="214" t="s">
        <v>464</v>
      </c>
      <c r="B172" s="215" t="s">
        <v>463</v>
      </c>
      <c r="C172" s="846">
        <f>'Tab-21 Labor Budget'!BG38</f>
        <v>135238.20000000007</v>
      </c>
      <c r="D172" s="374">
        <f t="shared" ref="D172:D186" si="71">C172/12</f>
        <v>11269.850000000006</v>
      </c>
      <c r="E172" s="838">
        <v>185655.14</v>
      </c>
      <c r="F172" s="381">
        <f t="shared" ref="F172:F177" si="72">C172/$C$319</f>
        <v>0.10140560955353455</v>
      </c>
      <c r="H172" s="381">
        <f t="shared" ref="H172:H186" si="73">C172/$C$131</f>
        <v>5.8481702965197391E-2</v>
      </c>
      <c r="I172" s="381">
        <f t="shared" ref="I172:I186" si="74">E172/$E$131</f>
        <v>0.1401765205792424</v>
      </c>
      <c r="J172" s="381">
        <f t="shared" ref="J172:J186" si="75">C172/$C$28</f>
        <v>3.1155332228042194E-2</v>
      </c>
      <c r="K172" s="381">
        <f t="shared" ref="K172:K186" si="76">E172/$E$28</f>
        <v>7.676143757684846E-2</v>
      </c>
    </row>
    <row r="173" spans="1:11" ht="12.75" thickTop="1" thickBot="1" x14ac:dyDescent="0.25">
      <c r="A173" s="214" t="s">
        <v>462</v>
      </c>
      <c r="B173" s="215" t="s">
        <v>868</v>
      </c>
      <c r="C173" s="846">
        <f>'Tab-21 Labor Budget'!BH38</f>
        <v>-21241.680000000004</v>
      </c>
      <c r="D173" s="374">
        <f t="shared" si="71"/>
        <v>-1770.1400000000003</v>
      </c>
      <c r="E173" s="838">
        <v>-29041.99</v>
      </c>
      <c r="F173" s="381">
        <f t="shared" si="72"/>
        <v>-1.5927641068434237E-2</v>
      </c>
      <c r="H173" s="381">
        <f t="shared" si="73"/>
        <v>-9.1856414847415434E-3</v>
      </c>
      <c r="I173" s="381">
        <f t="shared" si="74"/>
        <v>-2.1927780232193692E-2</v>
      </c>
      <c r="J173" s="381">
        <f t="shared" si="75"/>
        <v>-4.8935256272396345E-3</v>
      </c>
      <c r="K173" s="381">
        <f t="shared" si="76"/>
        <v>-1.2007773673772012E-2</v>
      </c>
    </row>
    <row r="174" spans="1:11" ht="12" thickTop="1" x14ac:dyDescent="0.2">
      <c r="A174" s="225" t="s">
        <v>461</v>
      </c>
      <c r="B174" s="215" t="s">
        <v>460</v>
      </c>
      <c r="C174" s="713">
        <v>0</v>
      </c>
      <c r="D174" s="374">
        <f t="shared" si="71"/>
        <v>0</v>
      </c>
      <c r="E174" s="838">
        <v>-14963.1</v>
      </c>
      <c r="F174" s="381">
        <f t="shared" si="72"/>
        <v>0</v>
      </c>
      <c r="H174" s="381">
        <f t="shared" si="73"/>
        <v>0</v>
      </c>
      <c r="I174" s="381">
        <f t="shared" si="74"/>
        <v>-1.1297695798130135E-2</v>
      </c>
      <c r="J174" s="381">
        <f t="shared" si="75"/>
        <v>0</v>
      </c>
      <c r="K174" s="381">
        <f t="shared" si="76"/>
        <v>-6.1866806736734633E-3</v>
      </c>
    </row>
    <row r="175" spans="1:11" x14ac:dyDescent="0.2">
      <c r="A175" s="214" t="s">
        <v>459</v>
      </c>
      <c r="B175" s="215" t="s">
        <v>458</v>
      </c>
      <c r="C175" s="713">
        <v>850</v>
      </c>
      <c r="D175" s="374">
        <f t="shared" si="71"/>
        <v>70.833333333333329</v>
      </c>
      <c r="E175" s="838">
        <v>848</v>
      </c>
      <c r="F175" s="381">
        <f t="shared" si="72"/>
        <v>6.3735518603844413E-4</v>
      </c>
      <c r="H175" s="381">
        <f t="shared" si="73"/>
        <v>3.6756957368863055E-4</v>
      </c>
      <c r="I175" s="381">
        <f t="shared" si="74"/>
        <v>6.4027147027115739E-4</v>
      </c>
      <c r="J175" s="381">
        <f t="shared" si="75"/>
        <v>1.9581769347592508E-4</v>
      </c>
      <c r="K175" s="381">
        <f t="shared" si="76"/>
        <v>3.5061619659529754E-4</v>
      </c>
    </row>
    <row r="176" spans="1:11" ht="12" thickBot="1" x14ac:dyDescent="0.25">
      <c r="A176" s="214" t="s">
        <v>457</v>
      </c>
      <c r="B176" s="215" t="s">
        <v>456</v>
      </c>
      <c r="C176" s="846">
        <f>'Tab-21 Labor Budget'!BI38</f>
        <v>9469.7999999999975</v>
      </c>
      <c r="D176" s="374">
        <f t="shared" si="71"/>
        <v>789.14999999999975</v>
      </c>
      <c r="E176" s="838">
        <v>10965.73</v>
      </c>
      <c r="F176" s="381">
        <f t="shared" si="72"/>
        <v>7.1007366361727732E-3</v>
      </c>
      <c r="H176" s="381">
        <f t="shared" si="73"/>
        <v>4.0950709987254029E-3</v>
      </c>
      <c r="I176" s="381">
        <f t="shared" si="74"/>
        <v>8.2795331010572376E-3</v>
      </c>
      <c r="J176" s="381">
        <f t="shared" si="75"/>
        <v>2.1815934043274291E-3</v>
      </c>
      <c r="K176" s="381">
        <f t="shared" si="76"/>
        <v>4.5339180960978212E-3</v>
      </c>
    </row>
    <row r="177" spans="1:11" ht="12" thickTop="1" x14ac:dyDescent="0.2">
      <c r="A177" s="214" t="s">
        <v>455</v>
      </c>
      <c r="B177" s="215" t="s">
        <v>454</v>
      </c>
      <c r="C177" s="713">
        <v>0</v>
      </c>
      <c r="D177" s="374">
        <f t="shared" si="71"/>
        <v>0</v>
      </c>
      <c r="E177" s="838">
        <v>0</v>
      </c>
      <c r="F177" s="381">
        <f t="shared" si="72"/>
        <v>0</v>
      </c>
      <c r="H177" s="381">
        <f t="shared" si="73"/>
        <v>0</v>
      </c>
      <c r="I177" s="381">
        <f t="shared" si="74"/>
        <v>0</v>
      </c>
      <c r="J177" s="381">
        <f t="shared" si="75"/>
        <v>0</v>
      </c>
      <c r="K177" s="381">
        <f t="shared" si="76"/>
        <v>0</v>
      </c>
    </row>
    <row r="178" spans="1:11" x14ac:dyDescent="0.2">
      <c r="A178" s="214" t="s">
        <v>453</v>
      </c>
      <c r="B178" s="215" t="s">
        <v>452</v>
      </c>
      <c r="C178" s="713">
        <v>9800</v>
      </c>
      <c r="D178" s="374">
        <f t="shared" si="71"/>
        <v>816.66666666666663</v>
      </c>
      <c r="E178" s="838">
        <v>9839.26</v>
      </c>
      <c r="F178" s="381">
        <f t="shared" ref="F178:F185" si="77">C178/$C$316</f>
        <v>1.4141371167015096E-2</v>
      </c>
      <c r="H178" s="381">
        <f t="shared" si="73"/>
        <v>4.2378609672336226E-3</v>
      </c>
      <c r="I178" s="381">
        <f t="shared" si="74"/>
        <v>7.4290064464389008E-3</v>
      </c>
      <c r="J178" s="381">
        <f t="shared" si="75"/>
        <v>2.2576628188989011E-3</v>
      </c>
      <c r="K178" s="381">
        <f t="shared" si="76"/>
        <v>4.0681649982455747E-3</v>
      </c>
    </row>
    <row r="179" spans="1:11" x14ac:dyDescent="0.2">
      <c r="A179" s="214" t="s">
        <v>451</v>
      </c>
      <c r="B179" s="215" t="s">
        <v>450</v>
      </c>
      <c r="C179" s="713">
        <v>1600</v>
      </c>
      <c r="D179" s="374">
        <f t="shared" si="71"/>
        <v>133.33333333333334</v>
      </c>
      <c r="E179" s="838">
        <v>1593.53</v>
      </c>
      <c r="F179" s="381">
        <f t="shared" si="77"/>
        <v>2.3087952925738933E-3</v>
      </c>
      <c r="H179" s="381">
        <f t="shared" si="73"/>
        <v>6.918956681197752E-4</v>
      </c>
      <c r="I179" s="381">
        <f t="shared" si="74"/>
        <v>1.203174287760846E-3</v>
      </c>
      <c r="J179" s="381">
        <f t="shared" si="75"/>
        <v>3.6859801124880016E-4</v>
      </c>
      <c r="K179" s="381">
        <f t="shared" si="76"/>
        <v>6.5886489122701005E-4</v>
      </c>
    </row>
    <row r="180" spans="1:11" x14ac:dyDescent="0.2">
      <c r="A180" s="214" t="s">
        <v>449</v>
      </c>
      <c r="B180" s="215" t="s">
        <v>448</v>
      </c>
      <c r="C180" s="713">
        <v>0</v>
      </c>
      <c r="D180" s="374">
        <f t="shared" si="71"/>
        <v>0</v>
      </c>
      <c r="E180" s="838">
        <v>0</v>
      </c>
      <c r="F180" s="381">
        <f t="shared" si="77"/>
        <v>0</v>
      </c>
      <c r="H180" s="381">
        <f t="shared" si="73"/>
        <v>0</v>
      </c>
      <c r="I180" s="381">
        <f t="shared" si="74"/>
        <v>0</v>
      </c>
      <c r="J180" s="381">
        <f t="shared" si="75"/>
        <v>0</v>
      </c>
      <c r="K180" s="381">
        <f t="shared" si="76"/>
        <v>0</v>
      </c>
    </row>
    <row r="181" spans="1:11" x14ac:dyDescent="0.2">
      <c r="A181" s="214" t="s">
        <v>447</v>
      </c>
      <c r="B181" s="215" t="s">
        <v>446</v>
      </c>
      <c r="C181" s="713">
        <v>0</v>
      </c>
      <c r="D181" s="374">
        <f t="shared" si="71"/>
        <v>0</v>
      </c>
      <c r="E181" s="838">
        <v>0</v>
      </c>
      <c r="F181" s="381">
        <f t="shared" si="77"/>
        <v>0</v>
      </c>
      <c r="H181" s="381">
        <f t="shared" si="73"/>
        <v>0</v>
      </c>
      <c r="I181" s="381">
        <f t="shared" si="74"/>
        <v>0</v>
      </c>
      <c r="J181" s="381">
        <f t="shared" si="75"/>
        <v>0</v>
      </c>
      <c r="K181" s="381">
        <f t="shared" si="76"/>
        <v>0</v>
      </c>
    </row>
    <row r="182" spans="1:11" x14ac:dyDescent="0.2">
      <c r="A182" s="214" t="s">
        <v>445</v>
      </c>
      <c r="B182" s="837" t="s">
        <v>444</v>
      </c>
      <c r="C182" s="713">
        <v>0</v>
      </c>
      <c r="D182" s="374">
        <f t="shared" si="71"/>
        <v>0</v>
      </c>
      <c r="E182" s="838">
        <v>0</v>
      </c>
      <c r="F182" s="381">
        <f t="shared" si="77"/>
        <v>0</v>
      </c>
      <c r="H182" s="381">
        <f t="shared" si="73"/>
        <v>0</v>
      </c>
      <c r="I182" s="381">
        <f t="shared" si="74"/>
        <v>0</v>
      </c>
      <c r="J182" s="381">
        <f t="shared" si="75"/>
        <v>0</v>
      </c>
      <c r="K182" s="381">
        <f t="shared" si="76"/>
        <v>0</v>
      </c>
    </row>
    <row r="183" spans="1:11" x14ac:dyDescent="0.2">
      <c r="A183" s="214" t="s">
        <v>443</v>
      </c>
      <c r="B183" s="215" t="s">
        <v>442</v>
      </c>
      <c r="C183" s="713">
        <v>16000</v>
      </c>
      <c r="D183" s="374">
        <f t="shared" si="71"/>
        <v>1333.3333333333333</v>
      </c>
      <c r="E183" s="838">
        <v>16578.07</v>
      </c>
      <c r="F183" s="381">
        <f t="shared" si="77"/>
        <v>2.3087952925738932E-2</v>
      </c>
      <c r="H183" s="381">
        <f t="shared" si="73"/>
        <v>6.9189566811977514E-3</v>
      </c>
      <c r="I183" s="381">
        <f t="shared" si="74"/>
        <v>1.2517058081554441E-2</v>
      </c>
      <c r="J183" s="381">
        <f t="shared" si="75"/>
        <v>3.6859801124880013E-3</v>
      </c>
      <c r="K183" s="381">
        <f t="shared" si="76"/>
        <v>6.854410200814392E-3</v>
      </c>
    </row>
    <row r="184" spans="1:11" x14ac:dyDescent="0.2">
      <c r="A184" s="214" t="s">
        <v>441</v>
      </c>
      <c r="B184" s="215" t="s">
        <v>440</v>
      </c>
      <c r="C184" s="713">
        <v>200</v>
      </c>
      <c r="D184" s="374">
        <f t="shared" si="71"/>
        <v>16.666666666666668</v>
      </c>
      <c r="E184" s="838">
        <v>200</v>
      </c>
      <c r="F184" s="381">
        <f t="shared" si="77"/>
        <v>2.8859941157173666E-4</v>
      </c>
      <c r="H184" s="381">
        <f t="shared" si="73"/>
        <v>8.6486958514971901E-5</v>
      </c>
      <c r="I184" s="381">
        <f t="shared" si="74"/>
        <v>1.5100742223376354E-4</v>
      </c>
      <c r="J184" s="381">
        <f t="shared" si="75"/>
        <v>4.607475140610002E-5</v>
      </c>
      <c r="K184" s="381">
        <f t="shared" si="76"/>
        <v>8.2692499197004141E-5</v>
      </c>
    </row>
    <row r="185" spans="1:11" x14ac:dyDescent="0.2">
      <c r="A185" s="214" t="s">
        <v>439</v>
      </c>
      <c r="B185" s="215" t="s">
        <v>438</v>
      </c>
      <c r="C185" s="713">
        <v>0</v>
      </c>
      <c r="D185" s="374">
        <f t="shared" si="71"/>
        <v>0</v>
      </c>
      <c r="E185" s="838">
        <v>0</v>
      </c>
      <c r="F185" s="381">
        <f t="shared" si="77"/>
        <v>0</v>
      </c>
      <c r="H185" s="381">
        <f t="shared" si="73"/>
        <v>0</v>
      </c>
      <c r="I185" s="381">
        <f t="shared" si="74"/>
        <v>0</v>
      </c>
      <c r="J185" s="381">
        <f t="shared" si="75"/>
        <v>0</v>
      </c>
      <c r="K185" s="381">
        <f t="shared" si="76"/>
        <v>0</v>
      </c>
    </row>
    <row r="186" spans="1:11" ht="12" thickBot="1" x14ac:dyDescent="0.25">
      <c r="A186" s="214" t="s">
        <v>437</v>
      </c>
      <c r="B186" s="215" t="s">
        <v>436</v>
      </c>
      <c r="C186" s="713">
        <v>0</v>
      </c>
      <c r="D186" s="377">
        <f t="shared" si="71"/>
        <v>0</v>
      </c>
      <c r="E186" s="840">
        <v>0</v>
      </c>
      <c r="F186" s="381">
        <f>C186/$C$319</f>
        <v>0</v>
      </c>
      <c r="H186" s="381">
        <f t="shared" si="73"/>
        <v>0</v>
      </c>
      <c r="I186" s="381">
        <f t="shared" si="74"/>
        <v>0</v>
      </c>
      <c r="J186" s="381">
        <f t="shared" si="75"/>
        <v>0</v>
      </c>
      <c r="K186" s="381">
        <f t="shared" si="76"/>
        <v>0</v>
      </c>
    </row>
    <row r="187" spans="1:11" x14ac:dyDescent="0.2">
      <c r="A187" s="220"/>
      <c r="B187" s="221"/>
      <c r="C187" s="245"/>
      <c r="E187" s="380"/>
      <c r="F187" s="221"/>
      <c r="G187" s="221"/>
      <c r="H187" s="221"/>
      <c r="I187" s="221"/>
      <c r="J187" s="221"/>
      <c r="K187" s="221"/>
    </row>
    <row r="188" spans="1:11" ht="12" thickBot="1" x14ac:dyDescent="0.25">
      <c r="A188" s="211"/>
      <c r="B188" s="212" t="s">
        <v>435</v>
      </c>
      <c r="C188" s="382">
        <f>SUM(C171:C187)</f>
        <v>151916.32000000007</v>
      </c>
      <c r="D188" s="377">
        <f>C188/12</f>
        <v>12659.693333333338</v>
      </c>
      <c r="E188" s="384">
        <f t="shared" ref="E188" si="78">SUM(E171:E187)</f>
        <v>181674.64000000004</v>
      </c>
      <c r="F188" s="385">
        <f>C188/$C$319</f>
        <v>0.11391135811279512</v>
      </c>
      <c r="G188" s="213"/>
      <c r="H188" s="385">
        <f>C188/$C$131</f>
        <v>6.569390232793601E-2</v>
      </c>
      <c r="I188" s="385">
        <f>E188/$E$131</f>
        <v>0.13717109535823496</v>
      </c>
      <c r="J188" s="385">
        <f>C188/$C$28</f>
        <v>3.4997533392647717E-2</v>
      </c>
      <c r="K188" s="385">
        <f>E188/$E$28</f>
        <v>7.5115650111580098E-2</v>
      </c>
    </row>
    <row r="189" spans="1:11" x14ac:dyDescent="0.2">
      <c r="C189" s="245"/>
      <c r="E189" s="380"/>
    </row>
    <row r="190" spans="1:11" ht="12" thickBot="1" x14ac:dyDescent="0.25">
      <c r="A190" s="211"/>
      <c r="B190" s="260" t="s">
        <v>54</v>
      </c>
      <c r="C190" s="382"/>
      <c r="D190" s="377"/>
      <c r="E190" s="383"/>
      <c r="F190" s="379"/>
      <c r="G190" s="379"/>
      <c r="H190" s="379"/>
      <c r="I190" s="379"/>
      <c r="J190" s="379"/>
      <c r="K190" s="379"/>
    </row>
    <row r="191" spans="1:11" x14ac:dyDescent="0.2">
      <c r="A191" s="239"/>
      <c r="B191" s="240" t="s">
        <v>952</v>
      </c>
      <c r="C191" s="232"/>
      <c r="D191" s="392"/>
      <c r="E191" s="393"/>
      <c r="F191" s="210"/>
      <c r="G191" s="210"/>
      <c r="H191" s="210"/>
      <c r="I191" s="210"/>
      <c r="J191" s="210"/>
      <c r="K191" s="210"/>
    </row>
    <row r="192" spans="1:11" x14ac:dyDescent="0.2">
      <c r="A192" s="214" t="s">
        <v>434</v>
      </c>
      <c r="B192" s="215" t="s">
        <v>433</v>
      </c>
      <c r="C192" s="713">
        <v>2500</v>
      </c>
      <c r="D192" s="374">
        <f t="shared" ref="D192:D238" si="79">C192/12</f>
        <v>208.33333333333334</v>
      </c>
      <c r="E192" s="838">
        <v>2580.7800000000002</v>
      </c>
      <c r="F192" s="381">
        <f t="shared" ref="F192:F206" si="80">C192/$C$316</f>
        <v>3.6074926446467083E-3</v>
      </c>
      <c r="H192" s="381">
        <f t="shared" ref="H192:H227" si="81">C192/$C$131</f>
        <v>1.0810869814371488E-3</v>
      </c>
      <c r="I192" s="381">
        <f t="shared" ref="I192:I227" si="82">E192/$E$131</f>
        <v>1.9485846757622614E-3</v>
      </c>
      <c r="J192" s="381">
        <f t="shared" ref="J192:J227" si="83">C192/$C$28</f>
        <v>5.7593439257625021E-4</v>
      </c>
      <c r="K192" s="381">
        <f t="shared" ref="K192:K227" si="84">E192/$E$28</f>
        <v>1.0670557403882218E-3</v>
      </c>
    </row>
    <row r="193" spans="1:11" x14ac:dyDescent="0.2">
      <c r="A193" s="214" t="s">
        <v>432</v>
      </c>
      <c r="B193" s="215" t="s">
        <v>431</v>
      </c>
      <c r="C193" s="713">
        <v>4500</v>
      </c>
      <c r="D193" s="374">
        <f t="shared" si="79"/>
        <v>375</v>
      </c>
      <c r="E193" s="838">
        <v>4585.95</v>
      </c>
      <c r="F193" s="381">
        <f t="shared" si="80"/>
        <v>6.4934867603640752E-3</v>
      </c>
      <c r="H193" s="381">
        <f t="shared" si="81"/>
        <v>1.9459565665868677E-3</v>
      </c>
      <c r="I193" s="381">
        <f t="shared" si="82"/>
        <v>3.4625624399646391E-3</v>
      </c>
      <c r="J193" s="381">
        <f t="shared" si="83"/>
        <v>1.0366819066372503E-3</v>
      </c>
      <c r="K193" s="381">
        <f t="shared" si="84"/>
        <v>1.8961183334625057E-3</v>
      </c>
    </row>
    <row r="194" spans="1:11" x14ac:dyDescent="0.2">
      <c r="A194" s="214" t="s">
        <v>430</v>
      </c>
      <c r="B194" s="215" t="s">
        <v>429</v>
      </c>
      <c r="C194" s="713">
        <v>1600</v>
      </c>
      <c r="D194" s="374">
        <f t="shared" si="79"/>
        <v>133.33333333333334</v>
      </c>
      <c r="E194" s="838">
        <v>1667.29</v>
      </c>
      <c r="F194" s="381">
        <f t="shared" si="80"/>
        <v>2.3087952925738933E-3</v>
      </c>
      <c r="H194" s="381">
        <f t="shared" si="81"/>
        <v>6.918956681197752E-4</v>
      </c>
      <c r="I194" s="381">
        <f t="shared" si="82"/>
        <v>1.2588658250806579E-3</v>
      </c>
      <c r="J194" s="381">
        <f t="shared" si="83"/>
        <v>3.6859801124880016E-4</v>
      </c>
      <c r="K194" s="381">
        <f t="shared" si="84"/>
        <v>6.8936188493086512E-4</v>
      </c>
    </row>
    <row r="195" spans="1:11" x14ac:dyDescent="0.2">
      <c r="A195" s="214" t="s">
        <v>428</v>
      </c>
      <c r="B195" s="215" t="s">
        <v>427</v>
      </c>
      <c r="C195" s="713">
        <v>120</v>
      </c>
      <c r="D195" s="374">
        <f t="shared" si="79"/>
        <v>10</v>
      </c>
      <c r="E195" s="838">
        <v>0</v>
      </c>
      <c r="F195" s="381">
        <f t="shared" si="80"/>
        <v>1.7315964694304198E-4</v>
      </c>
      <c r="H195" s="381">
        <f t="shared" si="81"/>
        <v>5.1892175108983138E-5</v>
      </c>
      <c r="I195" s="381">
        <f t="shared" si="82"/>
        <v>0</v>
      </c>
      <c r="J195" s="381">
        <f t="shared" si="83"/>
        <v>2.7644850843660011E-5</v>
      </c>
      <c r="K195" s="381">
        <f t="shared" si="84"/>
        <v>0</v>
      </c>
    </row>
    <row r="196" spans="1:11" x14ac:dyDescent="0.2">
      <c r="A196" s="214" t="s">
        <v>426</v>
      </c>
      <c r="B196" s="215" t="s">
        <v>425</v>
      </c>
      <c r="C196" s="713">
        <v>0</v>
      </c>
      <c r="D196" s="374">
        <f t="shared" si="79"/>
        <v>0</v>
      </c>
      <c r="E196" s="838">
        <v>0</v>
      </c>
      <c r="F196" s="381">
        <f t="shared" si="80"/>
        <v>0</v>
      </c>
      <c r="H196" s="381">
        <f t="shared" si="81"/>
        <v>0</v>
      </c>
      <c r="I196" s="381">
        <f t="shared" si="82"/>
        <v>0</v>
      </c>
      <c r="J196" s="381">
        <f t="shared" si="83"/>
        <v>0</v>
      </c>
      <c r="K196" s="381">
        <f t="shared" si="84"/>
        <v>0</v>
      </c>
    </row>
    <row r="197" spans="1:11" x14ac:dyDescent="0.2">
      <c r="A197" s="214" t="s">
        <v>424</v>
      </c>
      <c r="B197" s="215" t="s">
        <v>423</v>
      </c>
      <c r="C197" s="713">
        <v>0</v>
      </c>
      <c r="D197" s="374">
        <f t="shared" si="79"/>
        <v>0</v>
      </c>
      <c r="E197" s="838">
        <v>0</v>
      </c>
      <c r="F197" s="381">
        <f t="shared" si="80"/>
        <v>0</v>
      </c>
      <c r="H197" s="381">
        <f t="shared" si="81"/>
        <v>0</v>
      </c>
      <c r="I197" s="381">
        <f t="shared" si="82"/>
        <v>0</v>
      </c>
      <c r="J197" s="381">
        <f t="shared" si="83"/>
        <v>0</v>
      </c>
      <c r="K197" s="381">
        <f t="shared" si="84"/>
        <v>0</v>
      </c>
    </row>
    <row r="198" spans="1:11" x14ac:dyDescent="0.2">
      <c r="A198" s="214" t="s">
        <v>422</v>
      </c>
      <c r="B198" s="215" t="s">
        <v>421</v>
      </c>
      <c r="C198" s="713">
        <v>125</v>
      </c>
      <c r="D198" s="374">
        <f t="shared" si="79"/>
        <v>10.416666666666666</v>
      </c>
      <c r="E198" s="838">
        <v>124.74</v>
      </c>
      <c r="F198" s="381">
        <f t="shared" si="80"/>
        <v>1.803746322323354E-4</v>
      </c>
      <c r="H198" s="381">
        <f t="shared" si="81"/>
        <v>5.4054349071857433E-5</v>
      </c>
      <c r="I198" s="381">
        <f t="shared" si="82"/>
        <v>9.4183329247198315E-5</v>
      </c>
      <c r="J198" s="381">
        <f t="shared" si="83"/>
        <v>2.879671962881251E-5</v>
      </c>
      <c r="K198" s="381">
        <f t="shared" si="84"/>
        <v>5.1575311749171481E-5</v>
      </c>
    </row>
    <row r="199" spans="1:11" x14ac:dyDescent="0.2">
      <c r="A199" s="214" t="s">
        <v>420</v>
      </c>
      <c r="B199" s="215" t="s">
        <v>419</v>
      </c>
      <c r="C199" s="713">
        <v>1800</v>
      </c>
      <c r="D199" s="374">
        <f t="shared" si="79"/>
        <v>150</v>
      </c>
      <c r="E199" s="838">
        <v>1741.41</v>
      </c>
      <c r="F199" s="381">
        <f t="shared" si="80"/>
        <v>2.5973947041456301E-3</v>
      </c>
      <c r="H199" s="381">
        <f t="shared" si="81"/>
        <v>7.7838262663474712E-4</v>
      </c>
      <c r="I199" s="381">
        <f t="shared" si="82"/>
        <v>1.3148291757604908E-3</v>
      </c>
      <c r="J199" s="381">
        <f t="shared" si="83"/>
        <v>4.1467276265490016E-4</v>
      </c>
      <c r="K199" s="381">
        <f t="shared" si="84"/>
        <v>7.2000772513327498E-4</v>
      </c>
    </row>
    <row r="200" spans="1:11" x14ac:dyDescent="0.2">
      <c r="A200" s="214" t="s">
        <v>418</v>
      </c>
      <c r="B200" s="215" t="s">
        <v>417</v>
      </c>
      <c r="C200" s="713">
        <v>1200</v>
      </c>
      <c r="D200" s="374">
        <f t="shared" si="79"/>
        <v>100</v>
      </c>
      <c r="E200" s="838">
        <v>1074.3800000000001</v>
      </c>
      <c r="F200" s="381">
        <f t="shared" si="80"/>
        <v>1.7315964694304198E-3</v>
      </c>
      <c r="H200" s="381">
        <f t="shared" si="81"/>
        <v>5.1892175108983138E-4</v>
      </c>
      <c r="I200" s="381">
        <f t="shared" si="82"/>
        <v>8.1119677149755435E-4</v>
      </c>
      <c r="J200" s="381">
        <f t="shared" si="83"/>
        <v>2.7644850843660011E-4</v>
      </c>
      <c r="K200" s="381">
        <f t="shared" si="84"/>
        <v>4.442158364363866E-4</v>
      </c>
    </row>
    <row r="201" spans="1:11" x14ac:dyDescent="0.2">
      <c r="A201" s="214" t="s">
        <v>416</v>
      </c>
      <c r="B201" s="215" t="s">
        <v>408</v>
      </c>
      <c r="C201" s="713">
        <v>50</v>
      </c>
      <c r="D201" s="374">
        <f t="shared" si="79"/>
        <v>4.166666666666667</v>
      </c>
      <c r="E201" s="838">
        <v>46.98</v>
      </c>
      <c r="F201" s="381">
        <f t="shared" si="80"/>
        <v>7.2149852892934165E-5</v>
      </c>
      <c r="H201" s="381">
        <f t="shared" si="81"/>
        <v>2.1621739628742975E-5</v>
      </c>
      <c r="I201" s="381">
        <f t="shared" si="82"/>
        <v>3.5471643482711051E-5</v>
      </c>
      <c r="J201" s="381">
        <f t="shared" si="83"/>
        <v>1.1518687851525005E-5</v>
      </c>
      <c r="K201" s="381">
        <f t="shared" si="84"/>
        <v>1.9424468061376271E-5</v>
      </c>
    </row>
    <row r="202" spans="1:11" x14ac:dyDescent="0.2">
      <c r="A202" s="214" t="s">
        <v>415</v>
      </c>
      <c r="B202" s="215" t="s">
        <v>414</v>
      </c>
      <c r="C202" s="713">
        <v>0</v>
      </c>
      <c r="D202" s="374">
        <f t="shared" si="79"/>
        <v>0</v>
      </c>
      <c r="E202" s="838">
        <v>0</v>
      </c>
      <c r="F202" s="381">
        <f t="shared" si="80"/>
        <v>0</v>
      </c>
      <c r="H202" s="381">
        <f t="shared" si="81"/>
        <v>0</v>
      </c>
      <c r="I202" s="381">
        <f t="shared" si="82"/>
        <v>0</v>
      </c>
      <c r="J202" s="381">
        <f t="shared" si="83"/>
        <v>0</v>
      </c>
      <c r="K202" s="381">
        <f t="shared" si="84"/>
        <v>0</v>
      </c>
    </row>
    <row r="203" spans="1:11" x14ac:dyDescent="0.2">
      <c r="A203" s="214" t="s">
        <v>413</v>
      </c>
      <c r="B203" s="215" t="s">
        <v>294</v>
      </c>
      <c r="C203" s="713">
        <v>0</v>
      </c>
      <c r="D203" s="374">
        <f t="shared" si="79"/>
        <v>0</v>
      </c>
      <c r="E203" s="838">
        <v>0</v>
      </c>
      <c r="F203" s="381">
        <f t="shared" si="80"/>
        <v>0</v>
      </c>
      <c r="H203" s="381">
        <f t="shared" si="81"/>
        <v>0</v>
      </c>
      <c r="I203" s="381">
        <f t="shared" si="82"/>
        <v>0</v>
      </c>
      <c r="J203" s="381">
        <f t="shared" si="83"/>
        <v>0</v>
      </c>
      <c r="K203" s="381">
        <f t="shared" si="84"/>
        <v>0</v>
      </c>
    </row>
    <row r="204" spans="1:11" x14ac:dyDescent="0.2">
      <c r="A204" s="214" t="s">
        <v>412</v>
      </c>
      <c r="B204" s="215" t="s">
        <v>296</v>
      </c>
      <c r="C204" s="713">
        <v>0</v>
      </c>
      <c r="D204" s="374">
        <f t="shared" si="79"/>
        <v>0</v>
      </c>
      <c r="E204" s="838">
        <v>0</v>
      </c>
      <c r="F204" s="381">
        <f t="shared" si="80"/>
        <v>0</v>
      </c>
      <c r="H204" s="381">
        <f t="shared" si="81"/>
        <v>0</v>
      </c>
      <c r="I204" s="381">
        <f t="shared" si="82"/>
        <v>0</v>
      </c>
      <c r="J204" s="381">
        <f t="shared" si="83"/>
        <v>0</v>
      </c>
      <c r="K204" s="381">
        <f t="shared" si="84"/>
        <v>0</v>
      </c>
    </row>
    <row r="205" spans="1:11" x14ac:dyDescent="0.2">
      <c r="A205" s="214" t="s">
        <v>411</v>
      </c>
      <c r="B205" s="215" t="s">
        <v>410</v>
      </c>
      <c r="C205" s="713">
        <v>12000</v>
      </c>
      <c r="D205" s="374">
        <f t="shared" si="79"/>
        <v>1000</v>
      </c>
      <c r="E205" s="838">
        <v>17955.73</v>
      </c>
      <c r="F205" s="381">
        <f t="shared" si="80"/>
        <v>1.7315964694304201E-2</v>
      </c>
      <c r="H205" s="381">
        <f t="shared" si="81"/>
        <v>5.1892175108983135E-3</v>
      </c>
      <c r="I205" s="381">
        <f t="shared" si="82"/>
        <v>1.3557242508127273E-2</v>
      </c>
      <c r="J205" s="381">
        <f t="shared" si="83"/>
        <v>2.7644850843660013E-3</v>
      </c>
      <c r="K205" s="381">
        <f t="shared" si="84"/>
        <v>7.4240209430331159E-3</v>
      </c>
    </row>
    <row r="206" spans="1:11" x14ac:dyDescent="0.2">
      <c r="A206" s="234" t="s">
        <v>409</v>
      </c>
      <c r="B206" s="235" t="s">
        <v>408</v>
      </c>
      <c r="C206" s="713">
        <v>0</v>
      </c>
      <c r="D206" s="392">
        <f t="shared" si="79"/>
        <v>0</v>
      </c>
      <c r="E206" s="838">
        <v>0</v>
      </c>
      <c r="F206" s="386">
        <f t="shared" si="80"/>
        <v>0</v>
      </c>
      <c r="G206" s="204"/>
      <c r="H206" s="386">
        <f t="shared" si="81"/>
        <v>0</v>
      </c>
      <c r="I206" s="386">
        <f t="shared" si="82"/>
        <v>0</v>
      </c>
      <c r="J206" s="386">
        <f t="shared" si="83"/>
        <v>0</v>
      </c>
      <c r="K206" s="386">
        <f t="shared" si="84"/>
        <v>0</v>
      </c>
    </row>
    <row r="207" spans="1:11" x14ac:dyDescent="0.2">
      <c r="A207" s="234"/>
      <c r="B207" s="235"/>
      <c r="C207" s="232"/>
      <c r="D207" s="392"/>
      <c r="E207" s="393"/>
      <c r="F207" s="386"/>
      <c r="G207" s="204"/>
      <c r="H207" s="386"/>
      <c r="I207" s="386"/>
      <c r="J207" s="386"/>
      <c r="K207" s="386"/>
    </row>
    <row r="208" spans="1:11" ht="12" thickBot="1" x14ac:dyDescent="0.25">
      <c r="A208" s="261"/>
      <c r="B208" s="252" t="s">
        <v>951</v>
      </c>
      <c r="C208" s="253">
        <f t="shared" ref="C208:D208" si="85">SUM(C191:C207)</f>
        <v>23895</v>
      </c>
      <c r="D208" s="404">
        <f t="shared" si="85"/>
        <v>1991.25</v>
      </c>
      <c r="E208" s="404">
        <f>SUM(E191:E207)</f>
        <v>29777.26</v>
      </c>
      <c r="F208" s="398">
        <f t="shared" ref="F208:J208" si="86">SUM(F192:F207)</f>
        <v>3.448041469753324E-2</v>
      </c>
      <c r="G208" s="398">
        <f t="shared" si="86"/>
        <v>0</v>
      </c>
      <c r="H208" s="398">
        <f t="shared" si="86"/>
        <v>1.0333029368576267E-2</v>
      </c>
      <c r="I208" s="398">
        <f t="shared" si="86"/>
        <v>2.2482936368922787E-2</v>
      </c>
      <c r="J208" s="398">
        <f t="shared" si="86"/>
        <v>5.5047809242438003E-3</v>
      </c>
      <c r="K208" s="398">
        <f>SUM(K192:K207)</f>
        <v>1.2311780243194917E-2</v>
      </c>
    </row>
    <row r="209" spans="1:11" x14ac:dyDescent="0.2">
      <c r="A209" s="214"/>
      <c r="B209" s="244"/>
      <c r="C209" s="245"/>
      <c r="E209" s="380"/>
      <c r="F209" s="381"/>
      <c r="H209" s="381"/>
      <c r="I209" s="381"/>
      <c r="J209" s="381"/>
      <c r="K209" s="381"/>
    </row>
    <row r="210" spans="1:11" x14ac:dyDescent="0.2">
      <c r="A210" s="214"/>
      <c r="B210" s="244" t="s">
        <v>953</v>
      </c>
      <c r="C210" s="245"/>
      <c r="E210" s="380"/>
      <c r="F210" s="381"/>
      <c r="H210" s="381"/>
      <c r="I210" s="381"/>
      <c r="J210" s="381"/>
      <c r="K210" s="381"/>
    </row>
    <row r="211" spans="1:11" x14ac:dyDescent="0.2">
      <c r="A211" s="214" t="s">
        <v>407</v>
      </c>
      <c r="B211" s="215" t="s">
        <v>406</v>
      </c>
      <c r="C211" s="713">
        <v>4000</v>
      </c>
      <c r="D211" s="374">
        <f t="shared" si="79"/>
        <v>333.33333333333331</v>
      </c>
      <c r="E211" s="838">
        <v>3371</v>
      </c>
      <c r="F211" s="381">
        <f t="shared" ref="F211:F229" si="87">C211/$C$316</f>
        <v>5.771988231434733E-3</v>
      </c>
      <c r="H211" s="381">
        <f t="shared" si="81"/>
        <v>1.7297391702994378E-3</v>
      </c>
      <c r="I211" s="381">
        <f t="shared" si="82"/>
        <v>2.5452301017500844E-3</v>
      </c>
      <c r="J211" s="381">
        <f t="shared" si="83"/>
        <v>9.2149502812200032E-4</v>
      </c>
      <c r="K211" s="381">
        <f t="shared" si="84"/>
        <v>1.3937820739655048E-3</v>
      </c>
    </row>
    <row r="212" spans="1:11" x14ac:dyDescent="0.2">
      <c r="A212" s="214" t="s">
        <v>405</v>
      </c>
      <c r="B212" s="215" t="s">
        <v>404</v>
      </c>
      <c r="C212" s="713">
        <v>12000</v>
      </c>
      <c r="D212" s="374">
        <f t="shared" si="79"/>
        <v>1000</v>
      </c>
      <c r="E212" s="838">
        <v>15074</v>
      </c>
      <c r="F212" s="381">
        <f t="shared" si="87"/>
        <v>1.7315964694304201E-2</v>
      </c>
      <c r="H212" s="381">
        <f t="shared" si="81"/>
        <v>5.1892175108983135E-3</v>
      </c>
      <c r="I212" s="381">
        <f t="shared" si="82"/>
        <v>1.1381429413758757E-2</v>
      </c>
      <c r="J212" s="381">
        <f t="shared" si="83"/>
        <v>2.7644850843660013E-3</v>
      </c>
      <c r="K212" s="381">
        <f t="shared" si="84"/>
        <v>6.2325336644782018E-3</v>
      </c>
    </row>
    <row r="213" spans="1:11" x14ac:dyDescent="0.2">
      <c r="A213" s="214" t="s">
        <v>403</v>
      </c>
      <c r="B213" s="215" t="s">
        <v>402</v>
      </c>
      <c r="C213" s="713">
        <v>0</v>
      </c>
      <c r="D213" s="374">
        <f t="shared" si="79"/>
        <v>0</v>
      </c>
      <c r="E213" s="838">
        <v>0</v>
      </c>
      <c r="F213" s="381">
        <f t="shared" si="87"/>
        <v>0</v>
      </c>
      <c r="H213" s="381">
        <f t="shared" si="81"/>
        <v>0</v>
      </c>
      <c r="I213" s="381">
        <f t="shared" si="82"/>
        <v>0</v>
      </c>
      <c r="J213" s="381">
        <f t="shared" si="83"/>
        <v>0</v>
      </c>
      <c r="K213" s="381">
        <f t="shared" si="84"/>
        <v>0</v>
      </c>
    </row>
    <row r="214" spans="1:11" x14ac:dyDescent="0.2">
      <c r="A214" s="214" t="s">
        <v>401</v>
      </c>
      <c r="B214" s="215" t="s">
        <v>400</v>
      </c>
      <c r="C214" s="713">
        <v>4000</v>
      </c>
      <c r="D214" s="374">
        <f t="shared" si="79"/>
        <v>333.33333333333331</v>
      </c>
      <c r="E214" s="838">
        <v>4132.57</v>
      </c>
      <c r="F214" s="381">
        <f t="shared" si="87"/>
        <v>5.771988231434733E-3</v>
      </c>
      <c r="H214" s="381">
        <f t="shared" si="81"/>
        <v>1.7297391702994378E-3</v>
      </c>
      <c r="I214" s="381">
        <f t="shared" si="82"/>
        <v>3.1202437145029203E-3</v>
      </c>
      <c r="J214" s="381">
        <f t="shared" si="83"/>
        <v>9.2149502812200032E-4</v>
      </c>
      <c r="K214" s="381">
        <f t="shared" si="84"/>
        <v>1.708662707032817E-3</v>
      </c>
    </row>
    <row r="215" spans="1:11" x14ac:dyDescent="0.2">
      <c r="A215" s="214" t="s">
        <v>399</v>
      </c>
      <c r="B215" s="215" t="s">
        <v>398</v>
      </c>
      <c r="C215" s="713">
        <v>0</v>
      </c>
      <c r="D215" s="374">
        <f t="shared" si="79"/>
        <v>0</v>
      </c>
      <c r="E215" s="838">
        <v>0</v>
      </c>
      <c r="F215" s="381">
        <f t="shared" si="87"/>
        <v>0</v>
      </c>
      <c r="H215" s="381">
        <f t="shared" si="81"/>
        <v>0</v>
      </c>
      <c r="I215" s="381">
        <f t="shared" si="82"/>
        <v>0</v>
      </c>
      <c r="J215" s="381">
        <f t="shared" si="83"/>
        <v>0</v>
      </c>
      <c r="K215" s="381">
        <f t="shared" si="84"/>
        <v>0</v>
      </c>
    </row>
    <row r="216" spans="1:11" x14ac:dyDescent="0.2">
      <c r="A216" s="214" t="s">
        <v>397</v>
      </c>
      <c r="B216" s="215" t="s">
        <v>396</v>
      </c>
      <c r="C216" s="713">
        <v>45000</v>
      </c>
      <c r="D216" s="374">
        <f t="shared" si="79"/>
        <v>3750</v>
      </c>
      <c r="E216" s="838">
        <v>45573.29</v>
      </c>
      <c r="F216" s="381">
        <f t="shared" si="87"/>
        <v>6.4934867603640742E-2</v>
      </c>
      <c r="H216" s="381">
        <f t="shared" si="81"/>
        <v>1.9459565665868678E-2</v>
      </c>
      <c r="I216" s="381">
        <f t="shared" si="82"/>
        <v>3.440952522805877E-2</v>
      </c>
      <c r="J216" s="381">
        <f t="shared" si="83"/>
        <v>1.0366819066372504E-2</v>
      </c>
      <c r="K216" s="381">
        <f t="shared" si="84"/>
        <v>1.8842846233649183E-2</v>
      </c>
    </row>
    <row r="217" spans="1:11" x14ac:dyDescent="0.2">
      <c r="A217" s="214" t="s">
        <v>395</v>
      </c>
      <c r="B217" s="215" t="s">
        <v>394</v>
      </c>
      <c r="C217" s="713">
        <v>7500</v>
      </c>
      <c r="D217" s="374">
        <f t="shared" si="79"/>
        <v>625</v>
      </c>
      <c r="E217" s="838">
        <v>7418.9</v>
      </c>
      <c r="F217" s="381">
        <f t="shared" si="87"/>
        <v>1.0822477933940125E-2</v>
      </c>
      <c r="H217" s="381">
        <f t="shared" si="81"/>
        <v>3.2432609443114463E-3</v>
      </c>
      <c r="I217" s="381">
        <f t="shared" si="82"/>
        <v>5.601544824050341E-3</v>
      </c>
      <c r="J217" s="381">
        <f t="shared" si="83"/>
        <v>1.7278031777287507E-3</v>
      </c>
      <c r="K217" s="381">
        <f t="shared" si="84"/>
        <v>3.0674369114632701E-3</v>
      </c>
    </row>
    <row r="218" spans="1:11" x14ac:dyDescent="0.2">
      <c r="A218" s="214" t="s">
        <v>393</v>
      </c>
      <c r="B218" s="215" t="s">
        <v>392</v>
      </c>
      <c r="C218" s="713">
        <v>4369</v>
      </c>
      <c r="D218" s="374">
        <f t="shared" si="79"/>
        <v>364.08333333333331</v>
      </c>
      <c r="E218" s="838">
        <v>4369</v>
      </c>
      <c r="F218" s="381">
        <f t="shared" si="87"/>
        <v>6.3044541457845877E-3</v>
      </c>
      <c r="H218" s="381">
        <f t="shared" si="81"/>
        <v>1.889307608759561E-3</v>
      </c>
      <c r="I218" s="381">
        <f t="shared" si="82"/>
        <v>3.2987571386965645E-3</v>
      </c>
      <c r="J218" s="381">
        <f t="shared" si="83"/>
        <v>1.0065029444662548E-3</v>
      </c>
      <c r="K218" s="381">
        <f t="shared" si="84"/>
        <v>1.8064176449585554E-3</v>
      </c>
    </row>
    <row r="219" spans="1:11" x14ac:dyDescent="0.2">
      <c r="A219" s="225" t="s">
        <v>391</v>
      </c>
      <c r="B219" s="215" t="s">
        <v>390</v>
      </c>
      <c r="C219" s="713">
        <v>-12000</v>
      </c>
      <c r="D219" s="374">
        <f t="shared" si="79"/>
        <v>-1000</v>
      </c>
      <c r="E219" s="838">
        <v>-11990.66</v>
      </c>
      <c r="F219" s="381">
        <f t="shared" si="87"/>
        <v>-1.7315964694304201E-2</v>
      </c>
      <c r="H219" s="381">
        <f t="shared" si="81"/>
        <v>-5.1892175108983135E-3</v>
      </c>
      <c r="I219" s="381">
        <f t="shared" si="82"/>
        <v>-9.0533932874074952E-3</v>
      </c>
      <c r="J219" s="381">
        <f t="shared" si="83"/>
        <v>-2.7644850843660013E-3</v>
      </c>
      <c r="K219" s="381">
        <f t="shared" si="84"/>
        <v>-4.9576882121077481E-3</v>
      </c>
    </row>
    <row r="220" spans="1:11" x14ac:dyDescent="0.2">
      <c r="A220" s="225" t="s">
        <v>389</v>
      </c>
      <c r="B220" s="215" t="s">
        <v>388</v>
      </c>
      <c r="C220" s="713">
        <v>1875</v>
      </c>
      <c r="D220" s="374">
        <f t="shared" si="79"/>
        <v>156.25</v>
      </c>
      <c r="E220" s="838">
        <v>1874.5</v>
      </c>
      <c r="F220" s="381">
        <f t="shared" si="87"/>
        <v>2.7056194834850313E-3</v>
      </c>
      <c r="H220" s="381">
        <f t="shared" si="81"/>
        <v>8.1081523607786157E-4</v>
      </c>
      <c r="I220" s="381">
        <f t="shared" si="82"/>
        <v>1.4153170648859487E-3</v>
      </c>
      <c r="J220" s="381">
        <f t="shared" si="83"/>
        <v>4.3195079443218769E-4</v>
      </c>
      <c r="K220" s="381">
        <f t="shared" si="84"/>
        <v>7.7503544872392128E-4</v>
      </c>
    </row>
    <row r="221" spans="1:11" x14ac:dyDescent="0.2">
      <c r="A221" s="225" t="s">
        <v>387</v>
      </c>
      <c r="B221" s="215" t="s">
        <v>386</v>
      </c>
      <c r="C221" s="713">
        <v>2000</v>
      </c>
      <c r="D221" s="374">
        <f t="shared" si="79"/>
        <v>166.66666666666666</v>
      </c>
      <c r="E221" s="838">
        <v>2000</v>
      </c>
      <c r="F221" s="381">
        <f t="shared" si="87"/>
        <v>2.8859941157173665E-3</v>
      </c>
      <c r="H221" s="381">
        <f t="shared" si="81"/>
        <v>8.6486958514971892E-4</v>
      </c>
      <c r="I221" s="381">
        <f t="shared" si="82"/>
        <v>1.5100742223376352E-3</v>
      </c>
      <c r="J221" s="381">
        <f t="shared" si="83"/>
        <v>4.6074751406100016E-4</v>
      </c>
      <c r="K221" s="381">
        <f t="shared" si="84"/>
        <v>8.2692499197004141E-4</v>
      </c>
    </row>
    <row r="222" spans="1:11" x14ac:dyDescent="0.2">
      <c r="A222" s="214" t="s">
        <v>385</v>
      </c>
      <c r="B222" s="215" t="s">
        <v>384</v>
      </c>
      <c r="C222" s="713">
        <v>5600</v>
      </c>
      <c r="D222" s="374">
        <f t="shared" si="79"/>
        <v>466.66666666666669</v>
      </c>
      <c r="E222" s="838">
        <v>5545.39</v>
      </c>
      <c r="F222" s="381">
        <f t="shared" si="87"/>
        <v>8.0807835240086258E-3</v>
      </c>
      <c r="H222" s="381">
        <f t="shared" si="81"/>
        <v>2.4216348384192132E-3</v>
      </c>
      <c r="I222" s="381">
        <f t="shared" si="82"/>
        <v>4.1869752459044503E-3</v>
      </c>
      <c r="J222" s="381">
        <f t="shared" si="83"/>
        <v>1.2900930393708004E-3</v>
      </c>
      <c r="K222" s="381">
        <f t="shared" si="84"/>
        <v>2.2928107906103742E-3</v>
      </c>
    </row>
    <row r="223" spans="1:11" x14ac:dyDescent="0.2">
      <c r="A223" s="214" t="s">
        <v>383</v>
      </c>
      <c r="B223" s="215" t="s">
        <v>382</v>
      </c>
      <c r="C223" s="713">
        <v>6000</v>
      </c>
      <c r="D223" s="374">
        <f t="shared" si="79"/>
        <v>500</v>
      </c>
      <c r="E223" s="838">
        <v>3563.04</v>
      </c>
      <c r="F223" s="381">
        <f t="shared" si="87"/>
        <v>8.6579823471521003E-3</v>
      </c>
      <c r="H223" s="381">
        <f t="shared" si="81"/>
        <v>2.5946087554491568E-3</v>
      </c>
      <c r="I223" s="381">
        <f t="shared" si="82"/>
        <v>2.6902274285789439E-3</v>
      </c>
      <c r="J223" s="381">
        <f t="shared" si="83"/>
        <v>1.3822425421830006E-3</v>
      </c>
      <c r="K223" s="381">
        <f t="shared" si="84"/>
        <v>1.4731834116944681E-3</v>
      </c>
    </row>
    <row r="224" spans="1:11" x14ac:dyDescent="0.2">
      <c r="A224" s="214" t="s">
        <v>381</v>
      </c>
      <c r="B224" s="215" t="s">
        <v>380</v>
      </c>
      <c r="C224" s="713">
        <v>815</v>
      </c>
      <c r="D224" s="374">
        <f t="shared" si="79"/>
        <v>67.916666666666671</v>
      </c>
      <c r="E224" s="838">
        <v>815</v>
      </c>
      <c r="F224" s="381">
        <f t="shared" si="87"/>
        <v>1.1760426021548268E-3</v>
      </c>
      <c r="H224" s="381">
        <f t="shared" si="81"/>
        <v>3.5243435594851046E-4</v>
      </c>
      <c r="I224" s="381">
        <f t="shared" si="82"/>
        <v>6.1535524560258638E-4</v>
      </c>
      <c r="J224" s="381">
        <f t="shared" si="83"/>
        <v>1.8775461197985757E-4</v>
      </c>
      <c r="K224" s="381">
        <f t="shared" si="84"/>
        <v>3.369719342277919E-4</v>
      </c>
    </row>
    <row r="225" spans="1:11" x14ac:dyDescent="0.2">
      <c r="A225" s="225" t="s">
        <v>379</v>
      </c>
      <c r="B225" s="215" t="s">
        <v>378</v>
      </c>
      <c r="C225" s="713">
        <v>0</v>
      </c>
      <c r="D225" s="374">
        <f t="shared" si="79"/>
        <v>0</v>
      </c>
      <c r="E225" s="838">
        <v>0</v>
      </c>
      <c r="F225" s="381">
        <f t="shared" si="87"/>
        <v>0</v>
      </c>
      <c r="H225" s="381">
        <f t="shared" si="81"/>
        <v>0</v>
      </c>
      <c r="I225" s="381">
        <f t="shared" si="82"/>
        <v>0</v>
      </c>
      <c r="J225" s="381">
        <f t="shared" si="83"/>
        <v>0</v>
      </c>
      <c r="K225" s="381">
        <f t="shared" si="84"/>
        <v>0</v>
      </c>
    </row>
    <row r="226" spans="1:11" x14ac:dyDescent="0.2">
      <c r="A226" s="214" t="s">
        <v>377</v>
      </c>
      <c r="B226" s="215" t="s">
        <v>376</v>
      </c>
      <c r="C226" s="713">
        <v>1000</v>
      </c>
      <c r="D226" s="374">
        <f t="shared" si="79"/>
        <v>83.333333333333329</v>
      </c>
      <c r="E226" s="838">
        <v>1600</v>
      </c>
      <c r="F226" s="381">
        <f t="shared" si="87"/>
        <v>1.4429970578586832E-3</v>
      </c>
      <c r="H226" s="381">
        <f t="shared" si="81"/>
        <v>4.3243479257485946E-4</v>
      </c>
      <c r="I226" s="381">
        <f t="shared" si="82"/>
        <v>1.2080593778701083E-3</v>
      </c>
      <c r="J226" s="381">
        <f t="shared" si="83"/>
        <v>2.3037375703050008E-4</v>
      </c>
      <c r="K226" s="381">
        <f t="shared" si="84"/>
        <v>6.6153999357603313E-4</v>
      </c>
    </row>
    <row r="227" spans="1:11" x14ac:dyDescent="0.2">
      <c r="A227" s="214" t="s">
        <v>375</v>
      </c>
      <c r="B227" s="215" t="s">
        <v>298</v>
      </c>
      <c r="C227" s="713">
        <v>2600</v>
      </c>
      <c r="D227" s="374">
        <f t="shared" si="79"/>
        <v>216.66666666666666</v>
      </c>
      <c r="E227" s="838">
        <v>2679.5</v>
      </c>
      <c r="F227" s="381">
        <f t="shared" si="87"/>
        <v>3.7517923504325765E-3</v>
      </c>
      <c r="H227" s="381">
        <f t="shared" si="81"/>
        <v>1.1243304606946346E-3</v>
      </c>
      <c r="I227" s="381">
        <f t="shared" si="82"/>
        <v>2.0231219393768468E-3</v>
      </c>
      <c r="J227" s="381">
        <f t="shared" si="83"/>
        <v>5.9897176827930021E-4</v>
      </c>
      <c r="K227" s="381">
        <f t="shared" si="84"/>
        <v>1.107872757991863E-3</v>
      </c>
    </row>
    <row r="228" spans="1:11" x14ac:dyDescent="0.2">
      <c r="A228" s="214" t="s">
        <v>374</v>
      </c>
      <c r="B228" s="215" t="s">
        <v>373</v>
      </c>
      <c r="C228" s="713">
        <v>0</v>
      </c>
      <c r="D228" s="374">
        <f t="shared" si="79"/>
        <v>0</v>
      </c>
      <c r="E228" s="838">
        <v>0</v>
      </c>
      <c r="F228" s="381">
        <f t="shared" si="87"/>
        <v>0</v>
      </c>
      <c r="H228" s="381">
        <f t="shared" ref="H228:H263" si="88">C228/$C$131</f>
        <v>0</v>
      </c>
      <c r="I228" s="381">
        <f t="shared" ref="I228:I263" si="89">E228/$E$131</f>
        <v>0</v>
      </c>
      <c r="J228" s="381">
        <f t="shared" ref="J228:J263" si="90">C228/$C$28</f>
        <v>0</v>
      </c>
      <c r="K228" s="381">
        <f t="shared" ref="K228:K263" si="91">E228/$E$28</f>
        <v>0</v>
      </c>
    </row>
    <row r="229" spans="1:11" x14ac:dyDescent="0.2">
      <c r="A229" s="262" t="s">
        <v>372</v>
      </c>
      <c r="B229" s="235" t="s">
        <v>371</v>
      </c>
      <c r="C229" s="713">
        <v>6000</v>
      </c>
      <c r="D229" s="392">
        <f t="shared" si="79"/>
        <v>500</v>
      </c>
      <c r="E229" s="838">
        <v>3919.09</v>
      </c>
      <c r="F229" s="386">
        <f t="shared" si="87"/>
        <v>8.6579823471521003E-3</v>
      </c>
      <c r="G229" s="204"/>
      <c r="H229" s="386">
        <f t="shared" si="88"/>
        <v>2.5946087554491568E-3</v>
      </c>
      <c r="I229" s="386">
        <f t="shared" si="89"/>
        <v>2.9590583920106016E-3</v>
      </c>
      <c r="J229" s="386">
        <f t="shared" si="90"/>
        <v>1.3822425421830006E-3</v>
      </c>
      <c r="K229" s="386">
        <f t="shared" si="91"/>
        <v>1.6203967333899348E-3</v>
      </c>
    </row>
    <row r="230" spans="1:11" x14ac:dyDescent="0.2">
      <c r="A230" s="225"/>
      <c r="B230" s="215"/>
      <c r="C230" s="245"/>
      <c r="E230" s="380"/>
      <c r="F230" s="381"/>
      <c r="H230" s="381"/>
      <c r="I230" s="381"/>
      <c r="J230" s="381"/>
      <c r="K230" s="381"/>
    </row>
    <row r="231" spans="1:11" ht="12" thickBot="1" x14ac:dyDescent="0.25">
      <c r="A231" s="251"/>
      <c r="B231" s="252" t="s">
        <v>954</v>
      </c>
      <c r="C231" s="253">
        <f t="shared" ref="C231:D231" si="92">SUM(C210:C230)</f>
        <v>90759</v>
      </c>
      <c r="D231" s="404">
        <f t="shared" si="92"/>
        <v>7563.25</v>
      </c>
      <c r="E231" s="404">
        <f>SUM(E210:E230)</f>
        <v>89944.619999999981</v>
      </c>
      <c r="F231" s="398">
        <f t="shared" ref="F231:J231" si="93">SUM(F211:F230)</f>
        <v>0.13096496997419624</v>
      </c>
      <c r="G231" s="398">
        <f t="shared" si="93"/>
        <v>0</v>
      </c>
      <c r="H231" s="398">
        <f t="shared" si="93"/>
        <v>3.9247349339301685E-2</v>
      </c>
      <c r="I231" s="398">
        <f t="shared" si="93"/>
        <v>6.7911526049977078E-2</v>
      </c>
      <c r="J231" s="398">
        <f t="shared" si="93"/>
        <v>2.0908491814331163E-2</v>
      </c>
      <c r="K231" s="398">
        <f>SUM(K211:K230)</f>
        <v>3.71887270856242E-2</v>
      </c>
    </row>
    <row r="232" spans="1:11" x14ac:dyDescent="0.2">
      <c r="A232" s="225"/>
      <c r="B232" s="215"/>
      <c r="C232" s="245"/>
      <c r="E232" s="380"/>
      <c r="F232" s="381"/>
      <c r="H232" s="381"/>
      <c r="I232" s="381"/>
      <c r="J232" s="381"/>
      <c r="K232" s="381"/>
    </row>
    <row r="233" spans="1:11" x14ac:dyDescent="0.2">
      <c r="A233" s="225"/>
      <c r="B233" s="244" t="s">
        <v>955</v>
      </c>
      <c r="C233" s="245"/>
      <c r="E233" s="380"/>
      <c r="F233" s="381"/>
      <c r="H233" s="381"/>
      <c r="I233" s="381"/>
      <c r="J233" s="381"/>
      <c r="K233" s="381"/>
    </row>
    <row r="234" spans="1:11" x14ac:dyDescent="0.2">
      <c r="A234" s="214" t="s">
        <v>370</v>
      </c>
      <c r="B234" s="215" t="s">
        <v>369</v>
      </c>
      <c r="C234" s="713">
        <v>-120</v>
      </c>
      <c r="D234" s="374">
        <f t="shared" si="79"/>
        <v>-10</v>
      </c>
      <c r="E234" s="838">
        <v>-119.81</v>
      </c>
      <c r="F234" s="381">
        <f t="shared" ref="F234:F265" si="94">C234/$C$316</f>
        <v>-1.7315964694304198E-4</v>
      </c>
      <c r="H234" s="381">
        <f t="shared" si="88"/>
        <v>-5.1892175108983138E-5</v>
      </c>
      <c r="I234" s="381">
        <f t="shared" si="89"/>
        <v>-9.0460996289136041E-5</v>
      </c>
      <c r="J234" s="381">
        <f t="shared" si="90"/>
        <v>-2.7644850843660011E-5</v>
      </c>
      <c r="K234" s="381">
        <f t="shared" si="91"/>
        <v>-4.9536941643965332E-5</v>
      </c>
    </row>
    <row r="235" spans="1:11" x14ac:dyDescent="0.2">
      <c r="A235" s="214" t="s">
        <v>368</v>
      </c>
      <c r="B235" s="215" t="s">
        <v>367</v>
      </c>
      <c r="C235" s="713">
        <v>0</v>
      </c>
      <c r="D235" s="374">
        <f t="shared" si="79"/>
        <v>0</v>
      </c>
      <c r="E235" s="838">
        <v>0</v>
      </c>
      <c r="F235" s="381">
        <f t="shared" si="94"/>
        <v>0</v>
      </c>
      <c r="H235" s="381">
        <f t="shared" si="88"/>
        <v>0</v>
      </c>
      <c r="I235" s="381">
        <f t="shared" si="89"/>
        <v>0</v>
      </c>
      <c r="J235" s="381">
        <f t="shared" si="90"/>
        <v>0</v>
      </c>
      <c r="K235" s="381">
        <f t="shared" si="91"/>
        <v>0</v>
      </c>
    </row>
    <row r="236" spans="1:11" x14ac:dyDescent="0.2">
      <c r="A236" s="214" t="s">
        <v>366</v>
      </c>
      <c r="B236" s="215" t="s">
        <v>365</v>
      </c>
      <c r="C236" s="713">
        <v>1200</v>
      </c>
      <c r="D236" s="374">
        <f t="shared" si="79"/>
        <v>100</v>
      </c>
      <c r="E236" s="838">
        <v>1344.7</v>
      </c>
      <c r="F236" s="381">
        <f t="shared" si="94"/>
        <v>1.7315964694304198E-3</v>
      </c>
      <c r="H236" s="381">
        <f t="shared" si="88"/>
        <v>5.1892175108983138E-4</v>
      </c>
      <c r="I236" s="381">
        <f t="shared" si="89"/>
        <v>1.0152984033887091E-3</v>
      </c>
      <c r="J236" s="381">
        <f t="shared" si="90"/>
        <v>2.7644850843660011E-4</v>
      </c>
      <c r="K236" s="381">
        <f t="shared" si="91"/>
        <v>5.5598301835105735E-4</v>
      </c>
    </row>
    <row r="237" spans="1:11" x14ac:dyDescent="0.2">
      <c r="A237" s="214" t="s">
        <v>364</v>
      </c>
      <c r="B237" s="215" t="s">
        <v>363</v>
      </c>
      <c r="C237" s="713">
        <v>0</v>
      </c>
      <c r="D237" s="374">
        <f t="shared" si="79"/>
        <v>0</v>
      </c>
      <c r="E237" s="838">
        <v>0</v>
      </c>
      <c r="F237" s="381">
        <f t="shared" si="94"/>
        <v>0</v>
      </c>
      <c r="H237" s="381">
        <f t="shared" si="88"/>
        <v>0</v>
      </c>
      <c r="I237" s="381">
        <f t="shared" si="89"/>
        <v>0</v>
      </c>
      <c r="J237" s="381">
        <f t="shared" si="90"/>
        <v>0</v>
      </c>
      <c r="K237" s="381">
        <f t="shared" si="91"/>
        <v>0</v>
      </c>
    </row>
    <row r="238" spans="1:11" x14ac:dyDescent="0.2">
      <c r="A238" s="214" t="s">
        <v>362</v>
      </c>
      <c r="B238" s="215" t="s">
        <v>361</v>
      </c>
      <c r="C238" s="713">
        <v>0</v>
      </c>
      <c r="D238" s="374">
        <f t="shared" si="79"/>
        <v>0</v>
      </c>
      <c r="E238" s="838">
        <v>0</v>
      </c>
      <c r="F238" s="381">
        <f t="shared" si="94"/>
        <v>0</v>
      </c>
      <c r="H238" s="381">
        <f t="shared" si="88"/>
        <v>0</v>
      </c>
      <c r="I238" s="381">
        <f t="shared" si="89"/>
        <v>0</v>
      </c>
      <c r="J238" s="381">
        <f t="shared" si="90"/>
        <v>0</v>
      </c>
      <c r="K238" s="381">
        <f t="shared" si="91"/>
        <v>0</v>
      </c>
    </row>
    <row r="239" spans="1:11" x14ac:dyDescent="0.2">
      <c r="A239" s="214" t="s">
        <v>360</v>
      </c>
      <c r="B239" s="215" t="s">
        <v>359</v>
      </c>
      <c r="C239" s="713">
        <v>4200</v>
      </c>
      <c r="D239" s="374">
        <f t="shared" ref="D239:D274" si="95">C239/12</f>
        <v>350</v>
      </c>
      <c r="E239" s="838">
        <v>4137.04</v>
      </c>
      <c r="F239" s="381">
        <f t="shared" si="94"/>
        <v>6.0605876430064702E-3</v>
      </c>
      <c r="H239" s="381">
        <f t="shared" si="88"/>
        <v>1.8162261288144099E-3</v>
      </c>
      <c r="I239" s="381">
        <f t="shared" si="89"/>
        <v>3.1236187303898453E-3</v>
      </c>
      <c r="J239" s="381">
        <f t="shared" si="90"/>
        <v>9.6756977952810043E-4</v>
      </c>
      <c r="K239" s="381">
        <f t="shared" si="91"/>
        <v>1.7105108843898701E-3</v>
      </c>
    </row>
    <row r="240" spans="1:11" x14ac:dyDescent="0.2">
      <c r="A240" s="214" t="s">
        <v>358</v>
      </c>
      <c r="B240" s="215" t="s">
        <v>357</v>
      </c>
      <c r="C240" s="713">
        <v>33000</v>
      </c>
      <c r="D240" s="374">
        <f t="shared" si="95"/>
        <v>2750</v>
      </c>
      <c r="E240" s="838">
        <v>33202.74</v>
      </c>
      <c r="F240" s="381">
        <f t="shared" si="94"/>
        <v>4.7618902909336548E-2</v>
      </c>
      <c r="H240" s="381">
        <f t="shared" si="88"/>
        <v>1.4270348154970363E-2</v>
      </c>
      <c r="I240" s="381">
        <f t="shared" si="89"/>
        <v>2.5069300892489346E-2</v>
      </c>
      <c r="J240" s="381">
        <f t="shared" si="90"/>
        <v>7.6023339820065032E-3</v>
      </c>
      <c r="K240" s="381">
        <f t="shared" si="91"/>
        <v>1.3728087753941685E-2</v>
      </c>
    </row>
    <row r="241" spans="1:11" x14ac:dyDescent="0.2">
      <c r="A241" s="214" t="s">
        <v>356</v>
      </c>
      <c r="B241" s="215" t="s">
        <v>355</v>
      </c>
      <c r="C241" s="713">
        <v>0</v>
      </c>
      <c r="D241" s="374">
        <f t="shared" si="95"/>
        <v>0</v>
      </c>
      <c r="E241" s="838">
        <v>600</v>
      </c>
      <c r="F241" s="381">
        <f t="shared" si="94"/>
        <v>0</v>
      </c>
      <c r="H241" s="381">
        <f t="shared" si="88"/>
        <v>0</v>
      </c>
      <c r="I241" s="381">
        <f t="shared" si="89"/>
        <v>4.5302226670129058E-4</v>
      </c>
      <c r="J241" s="381">
        <f t="shared" si="90"/>
        <v>0</v>
      </c>
      <c r="K241" s="381">
        <f t="shared" si="91"/>
        <v>2.4807749759101242E-4</v>
      </c>
    </row>
    <row r="242" spans="1:11" x14ac:dyDescent="0.2">
      <c r="A242" s="214" t="s">
        <v>354</v>
      </c>
      <c r="B242" s="215" t="s">
        <v>353</v>
      </c>
      <c r="C242" s="713">
        <v>9300</v>
      </c>
      <c r="D242" s="374">
        <f t="shared" si="95"/>
        <v>775</v>
      </c>
      <c r="E242" s="838">
        <v>9323</v>
      </c>
      <c r="F242" s="381">
        <f t="shared" si="94"/>
        <v>1.3419872638085755E-2</v>
      </c>
      <c r="H242" s="381">
        <f t="shared" si="88"/>
        <v>4.0216435709461932E-3</v>
      </c>
      <c r="I242" s="381">
        <f t="shared" si="89"/>
        <v>7.0392109874268865E-3</v>
      </c>
      <c r="J242" s="381">
        <f t="shared" si="90"/>
        <v>2.1424759403836507E-3</v>
      </c>
      <c r="K242" s="381">
        <f t="shared" si="91"/>
        <v>3.8547108500683481E-3</v>
      </c>
    </row>
    <row r="243" spans="1:11" x14ac:dyDescent="0.2">
      <c r="A243" s="214" t="s">
        <v>352</v>
      </c>
      <c r="B243" s="215" t="s">
        <v>351</v>
      </c>
      <c r="C243" s="713">
        <v>900</v>
      </c>
      <c r="D243" s="374">
        <f t="shared" si="95"/>
        <v>75</v>
      </c>
      <c r="E243" s="838">
        <v>876.57</v>
      </c>
      <c r="F243" s="381">
        <f t="shared" si="94"/>
        <v>1.298697352072815E-3</v>
      </c>
      <c r="H243" s="381">
        <f t="shared" si="88"/>
        <v>3.8919131331737356E-4</v>
      </c>
      <c r="I243" s="381">
        <f t="shared" si="89"/>
        <v>6.6184288053725048E-4</v>
      </c>
      <c r="J243" s="381">
        <f t="shared" si="90"/>
        <v>2.0733638132745008E-4</v>
      </c>
      <c r="K243" s="381">
        <f t="shared" si="91"/>
        <v>3.6242882010558959E-4</v>
      </c>
    </row>
    <row r="244" spans="1:11" x14ac:dyDescent="0.2">
      <c r="A244" s="214" t="s">
        <v>350</v>
      </c>
      <c r="B244" s="215" t="s">
        <v>349</v>
      </c>
      <c r="C244" s="713">
        <v>0</v>
      </c>
      <c r="D244" s="374">
        <f t="shared" si="95"/>
        <v>0</v>
      </c>
      <c r="E244" s="838">
        <v>0</v>
      </c>
      <c r="F244" s="381">
        <f t="shared" si="94"/>
        <v>0</v>
      </c>
      <c r="H244" s="381">
        <f t="shared" si="88"/>
        <v>0</v>
      </c>
      <c r="I244" s="381">
        <f t="shared" si="89"/>
        <v>0</v>
      </c>
      <c r="J244" s="381">
        <f t="shared" si="90"/>
        <v>0</v>
      </c>
      <c r="K244" s="381">
        <f t="shared" si="91"/>
        <v>0</v>
      </c>
    </row>
    <row r="245" spans="1:11" x14ac:dyDescent="0.2">
      <c r="A245" s="214" t="s">
        <v>348</v>
      </c>
      <c r="B245" s="215" t="s">
        <v>347</v>
      </c>
      <c r="C245" s="713">
        <v>0</v>
      </c>
      <c r="D245" s="374">
        <f t="shared" si="95"/>
        <v>0</v>
      </c>
      <c r="E245" s="838">
        <v>0</v>
      </c>
      <c r="F245" s="381">
        <f t="shared" si="94"/>
        <v>0</v>
      </c>
      <c r="H245" s="381">
        <f t="shared" si="88"/>
        <v>0</v>
      </c>
      <c r="I245" s="381">
        <f t="shared" si="89"/>
        <v>0</v>
      </c>
      <c r="J245" s="381">
        <f t="shared" si="90"/>
        <v>0</v>
      </c>
      <c r="K245" s="381">
        <f t="shared" si="91"/>
        <v>0</v>
      </c>
    </row>
    <row r="246" spans="1:11" x14ac:dyDescent="0.2">
      <c r="A246" s="214" t="s">
        <v>346</v>
      </c>
      <c r="B246" s="215" t="s">
        <v>345</v>
      </c>
      <c r="C246" s="713">
        <v>0</v>
      </c>
      <c r="D246" s="374">
        <f t="shared" si="95"/>
        <v>0</v>
      </c>
      <c r="E246" s="838">
        <v>0</v>
      </c>
      <c r="F246" s="381">
        <f t="shared" si="94"/>
        <v>0</v>
      </c>
      <c r="H246" s="381">
        <f t="shared" si="88"/>
        <v>0</v>
      </c>
      <c r="I246" s="381">
        <f t="shared" si="89"/>
        <v>0</v>
      </c>
      <c r="J246" s="381">
        <f t="shared" si="90"/>
        <v>0</v>
      </c>
      <c r="K246" s="381">
        <f t="shared" si="91"/>
        <v>0</v>
      </c>
    </row>
    <row r="247" spans="1:11" x14ac:dyDescent="0.2">
      <c r="A247" s="214" t="s">
        <v>344</v>
      </c>
      <c r="B247" s="215" t="s">
        <v>343</v>
      </c>
      <c r="C247" s="713">
        <v>300</v>
      </c>
      <c r="D247" s="374">
        <f t="shared" si="95"/>
        <v>25</v>
      </c>
      <c r="E247" s="838">
        <v>228.81</v>
      </c>
      <c r="F247" s="381">
        <f t="shared" si="94"/>
        <v>4.3289911735760496E-4</v>
      </c>
      <c r="H247" s="381">
        <f t="shared" si="88"/>
        <v>1.2973043777245784E-4</v>
      </c>
      <c r="I247" s="381">
        <f t="shared" si="89"/>
        <v>1.7276004140653715E-4</v>
      </c>
      <c r="J247" s="381">
        <f t="shared" si="90"/>
        <v>6.9112127109150027E-5</v>
      </c>
      <c r="K247" s="381">
        <f t="shared" si="91"/>
        <v>9.4604353706332592E-5</v>
      </c>
    </row>
    <row r="248" spans="1:11" x14ac:dyDescent="0.2">
      <c r="A248" s="214" t="s">
        <v>342</v>
      </c>
      <c r="B248" s="215" t="s">
        <v>341</v>
      </c>
      <c r="C248" s="713">
        <v>0</v>
      </c>
      <c r="D248" s="374">
        <f t="shared" si="95"/>
        <v>0</v>
      </c>
      <c r="E248" s="838">
        <v>0</v>
      </c>
      <c r="F248" s="381">
        <f t="shared" si="94"/>
        <v>0</v>
      </c>
      <c r="H248" s="381">
        <f t="shared" si="88"/>
        <v>0</v>
      </c>
      <c r="I248" s="381">
        <f t="shared" si="89"/>
        <v>0</v>
      </c>
      <c r="J248" s="381">
        <f t="shared" si="90"/>
        <v>0</v>
      </c>
      <c r="K248" s="381">
        <f t="shared" si="91"/>
        <v>0</v>
      </c>
    </row>
    <row r="249" spans="1:11" x14ac:dyDescent="0.2">
      <c r="A249" s="214" t="s">
        <v>340</v>
      </c>
      <c r="B249" s="215" t="s">
        <v>339</v>
      </c>
      <c r="C249" s="713">
        <v>500</v>
      </c>
      <c r="D249" s="374">
        <f t="shared" si="95"/>
        <v>41.666666666666664</v>
      </c>
      <c r="E249" s="838">
        <v>456</v>
      </c>
      <c r="F249" s="381">
        <f t="shared" si="94"/>
        <v>7.2149852892934162E-4</v>
      </c>
      <c r="H249" s="381">
        <f t="shared" si="88"/>
        <v>2.1621739628742973E-4</v>
      </c>
      <c r="I249" s="381">
        <f t="shared" si="89"/>
        <v>3.4429692269298084E-4</v>
      </c>
      <c r="J249" s="381">
        <f t="shared" si="90"/>
        <v>1.1518687851525004E-4</v>
      </c>
      <c r="K249" s="381">
        <f t="shared" si="91"/>
        <v>1.8853889816916944E-4</v>
      </c>
    </row>
    <row r="250" spans="1:11" x14ac:dyDescent="0.2">
      <c r="A250" s="214" t="s">
        <v>338</v>
      </c>
      <c r="B250" s="215" t="s">
        <v>337</v>
      </c>
      <c r="C250" s="713">
        <v>0</v>
      </c>
      <c r="D250" s="374">
        <f t="shared" si="95"/>
        <v>0</v>
      </c>
      <c r="E250" s="838">
        <v>0</v>
      </c>
      <c r="F250" s="381">
        <f t="shared" si="94"/>
        <v>0</v>
      </c>
      <c r="H250" s="381">
        <f t="shared" si="88"/>
        <v>0</v>
      </c>
      <c r="I250" s="381">
        <f t="shared" si="89"/>
        <v>0</v>
      </c>
      <c r="J250" s="381">
        <f t="shared" si="90"/>
        <v>0</v>
      </c>
      <c r="K250" s="381">
        <f t="shared" si="91"/>
        <v>0</v>
      </c>
    </row>
    <row r="251" spans="1:11" x14ac:dyDescent="0.2">
      <c r="A251" s="214" t="s">
        <v>336</v>
      </c>
      <c r="B251" s="215" t="s">
        <v>335</v>
      </c>
      <c r="C251" s="713">
        <v>71496</v>
      </c>
      <c r="D251" s="374">
        <f t="shared" si="95"/>
        <v>5958</v>
      </c>
      <c r="E251" s="838">
        <v>112992</v>
      </c>
      <c r="F251" s="381">
        <f t="shared" si="94"/>
        <v>0.10316851764866442</v>
      </c>
      <c r="H251" s="381">
        <f t="shared" si="88"/>
        <v>3.0917357929932155E-2</v>
      </c>
      <c r="I251" s="381">
        <f t="shared" si="89"/>
        <v>8.5313153265187042E-2</v>
      </c>
      <c r="J251" s="381">
        <f t="shared" si="90"/>
        <v>1.6470802132652635E-2</v>
      </c>
      <c r="K251" s="381">
        <f t="shared" si="91"/>
        <v>4.6717954346339456E-2</v>
      </c>
    </row>
    <row r="252" spans="1:11" x14ac:dyDescent="0.2">
      <c r="A252" s="214" t="s">
        <v>334</v>
      </c>
      <c r="B252" s="215" t="s">
        <v>333</v>
      </c>
      <c r="C252" s="713">
        <v>40000</v>
      </c>
      <c r="D252" s="374">
        <f t="shared" si="95"/>
        <v>3333.3333333333335</v>
      </c>
      <c r="E252" s="838">
        <v>39321.17</v>
      </c>
      <c r="F252" s="381">
        <f t="shared" si="94"/>
        <v>5.7719882314347333E-2</v>
      </c>
      <c r="H252" s="381">
        <f t="shared" si="88"/>
        <v>1.729739170299438E-2</v>
      </c>
      <c r="I252" s="381">
        <f t="shared" si="89"/>
        <v>2.9688942604577977E-2</v>
      </c>
      <c r="J252" s="381">
        <f t="shared" si="90"/>
        <v>9.2149502812200034E-3</v>
      </c>
      <c r="K252" s="381">
        <f t="shared" si="91"/>
        <v>1.6257829093251314E-2</v>
      </c>
    </row>
    <row r="253" spans="1:11" x14ac:dyDescent="0.2">
      <c r="A253" s="214" t="s">
        <v>332</v>
      </c>
      <c r="B253" s="215" t="s">
        <v>1015</v>
      </c>
      <c r="C253" s="713">
        <v>15000</v>
      </c>
      <c r="D253" s="374">
        <f t="shared" si="95"/>
        <v>1250</v>
      </c>
      <c r="E253" s="838">
        <v>23741.040000000001</v>
      </c>
      <c r="F253" s="381">
        <f t="shared" si="94"/>
        <v>2.1644955867880251E-2</v>
      </c>
      <c r="H253" s="381">
        <f t="shared" si="88"/>
        <v>6.4865218886228926E-3</v>
      </c>
      <c r="I253" s="381">
        <f t="shared" si="89"/>
        <v>1.7925366257743346E-2</v>
      </c>
      <c r="J253" s="381">
        <f t="shared" si="90"/>
        <v>3.4556063554575015E-3</v>
      </c>
      <c r="K253" s="381">
        <f t="shared" si="91"/>
        <v>9.8160296556802154E-3</v>
      </c>
    </row>
    <row r="254" spans="1:11" x14ac:dyDescent="0.2">
      <c r="A254" s="195" t="s">
        <v>331</v>
      </c>
      <c r="B254" s="194" t="s">
        <v>1016</v>
      </c>
      <c r="C254" s="713">
        <v>8000</v>
      </c>
      <c r="D254" s="374">
        <f t="shared" si="95"/>
        <v>666.66666666666663</v>
      </c>
      <c r="E254" s="834">
        <v>7017.42</v>
      </c>
      <c r="F254" s="381">
        <f t="shared" si="94"/>
        <v>1.1543976462869466E-2</v>
      </c>
      <c r="H254" s="381">
        <f t="shared" si="88"/>
        <v>3.4594783405988757E-3</v>
      </c>
      <c r="I254" s="381">
        <f t="shared" si="89"/>
        <v>5.2984125246582844E-3</v>
      </c>
      <c r="J254" s="381">
        <f t="shared" si="90"/>
        <v>1.8429900562440006E-3</v>
      </c>
      <c r="K254" s="381">
        <f t="shared" si="91"/>
        <v>2.9014399885752039E-3</v>
      </c>
    </row>
    <row r="255" spans="1:11" x14ac:dyDescent="0.2">
      <c r="A255" s="214" t="s">
        <v>330</v>
      </c>
      <c r="B255" s="215" t="s">
        <v>329</v>
      </c>
      <c r="C255" s="713">
        <v>0</v>
      </c>
      <c r="D255" s="374">
        <f t="shared" si="95"/>
        <v>0</v>
      </c>
      <c r="E255" s="838">
        <v>0</v>
      </c>
      <c r="F255" s="381">
        <f t="shared" si="94"/>
        <v>0</v>
      </c>
      <c r="H255" s="381">
        <f t="shared" si="88"/>
        <v>0</v>
      </c>
      <c r="I255" s="381">
        <f t="shared" si="89"/>
        <v>0</v>
      </c>
      <c r="J255" s="381">
        <f t="shared" si="90"/>
        <v>0</v>
      </c>
      <c r="K255" s="381">
        <f t="shared" si="91"/>
        <v>0</v>
      </c>
    </row>
    <row r="256" spans="1:11" x14ac:dyDescent="0.2">
      <c r="A256" s="214" t="s">
        <v>328</v>
      </c>
      <c r="B256" s="215" t="s">
        <v>1017</v>
      </c>
      <c r="C256" s="713">
        <v>24000</v>
      </c>
      <c r="D256" s="374">
        <f t="shared" si="95"/>
        <v>2000</v>
      </c>
      <c r="E256" s="838">
        <v>24268.02</v>
      </c>
      <c r="F256" s="381">
        <f t="shared" si="94"/>
        <v>3.4631929388608401E-2</v>
      </c>
      <c r="H256" s="381">
        <f t="shared" si="88"/>
        <v>1.0378435021796627E-2</v>
      </c>
      <c r="I256" s="381">
        <f t="shared" si="89"/>
        <v>1.8323255714587091E-2</v>
      </c>
      <c r="J256" s="381">
        <f t="shared" si="90"/>
        <v>5.5289701687320026E-3</v>
      </c>
      <c r="K256" s="381">
        <f t="shared" si="91"/>
        <v>1.0033916121814403E-2</v>
      </c>
    </row>
    <row r="257" spans="1:11" x14ac:dyDescent="0.2">
      <c r="A257" s="214" t="s">
        <v>327</v>
      </c>
      <c r="B257" s="215" t="s">
        <v>1018</v>
      </c>
      <c r="C257" s="713">
        <v>3000</v>
      </c>
      <c r="D257" s="374">
        <f t="shared" si="95"/>
        <v>250</v>
      </c>
      <c r="E257" s="838">
        <v>4069.68</v>
      </c>
      <c r="F257" s="381">
        <f t="shared" si="94"/>
        <v>4.3289911735760501E-3</v>
      </c>
      <c r="H257" s="381">
        <f t="shared" si="88"/>
        <v>1.2973043777245784E-3</v>
      </c>
      <c r="I257" s="381">
        <f t="shared" si="89"/>
        <v>3.0727594305815136E-3</v>
      </c>
      <c r="J257" s="381">
        <f t="shared" si="90"/>
        <v>6.9112127109150032E-4</v>
      </c>
      <c r="K257" s="381">
        <f t="shared" si="91"/>
        <v>1.6826600506603189E-3</v>
      </c>
    </row>
    <row r="258" spans="1:11" x14ac:dyDescent="0.2">
      <c r="A258" s="225" t="s">
        <v>326</v>
      </c>
      <c r="B258" s="215" t="s">
        <v>325</v>
      </c>
      <c r="C258" s="713">
        <v>5000</v>
      </c>
      <c r="D258" s="374">
        <f t="shared" si="95"/>
        <v>416.66666666666669</v>
      </c>
      <c r="E258" s="838">
        <v>6211.1</v>
      </c>
      <c r="F258" s="381">
        <f t="shared" si="94"/>
        <v>7.2149852892934166E-3</v>
      </c>
      <c r="H258" s="381">
        <f t="shared" si="88"/>
        <v>2.1621739628742975E-3</v>
      </c>
      <c r="I258" s="381">
        <f t="shared" si="89"/>
        <v>4.6896110011806439E-3</v>
      </c>
      <c r="J258" s="381">
        <f t="shared" si="90"/>
        <v>1.1518687851525004E-3</v>
      </c>
      <c r="K258" s="381">
        <f t="shared" si="91"/>
        <v>2.5680569088125621E-3</v>
      </c>
    </row>
    <row r="259" spans="1:11" x14ac:dyDescent="0.2">
      <c r="A259" s="214" t="s">
        <v>324</v>
      </c>
      <c r="B259" s="215" t="s">
        <v>1019</v>
      </c>
      <c r="C259" s="713">
        <v>4500</v>
      </c>
      <c r="D259" s="374">
        <f t="shared" si="95"/>
        <v>375</v>
      </c>
      <c r="E259" s="838">
        <v>4549.46</v>
      </c>
      <c r="F259" s="381">
        <f t="shared" si="94"/>
        <v>6.4934867603640752E-3</v>
      </c>
      <c r="H259" s="381">
        <f t="shared" si="88"/>
        <v>1.9459565665868677E-3</v>
      </c>
      <c r="I259" s="381">
        <f t="shared" si="89"/>
        <v>3.4350111357780893E-3</v>
      </c>
      <c r="J259" s="381">
        <f t="shared" si="90"/>
        <v>1.0366819066372503E-3</v>
      </c>
      <c r="K259" s="381">
        <f t="shared" si="91"/>
        <v>1.8810310869840122E-3</v>
      </c>
    </row>
    <row r="260" spans="1:11" x14ac:dyDescent="0.2">
      <c r="A260" s="214" t="s">
        <v>323</v>
      </c>
      <c r="B260" s="215" t="s">
        <v>1020</v>
      </c>
      <c r="C260" s="713">
        <v>3000</v>
      </c>
      <c r="D260" s="374">
        <f t="shared" si="95"/>
        <v>250</v>
      </c>
      <c r="E260" s="838">
        <v>3078.51</v>
      </c>
      <c r="F260" s="381">
        <f t="shared" si="94"/>
        <v>4.3289911735760501E-3</v>
      </c>
      <c r="H260" s="381">
        <f t="shared" si="88"/>
        <v>1.2973043777245784E-3</v>
      </c>
      <c r="I260" s="381">
        <f t="shared" si="89"/>
        <v>2.3243892971043169E-3</v>
      </c>
      <c r="J260" s="381">
        <f t="shared" si="90"/>
        <v>6.9112127109150032E-4</v>
      </c>
      <c r="K260" s="381">
        <f t="shared" si="91"/>
        <v>1.2728484285148463E-3</v>
      </c>
    </row>
    <row r="261" spans="1:11" x14ac:dyDescent="0.2">
      <c r="A261" s="214" t="s">
        <v>322</v>
      </c>
      <c r="B261" s="215" t="s">
        <v>321</v>
      </c>
      <c r="C261" s="713">
        <v>420</v>
      </c>
      <c r="D261" s="374">
        <f t="shared" si="95"/>
        <v>35</v>
      </c>
      <c r="E261" s="838">
        <v>423.46</v>
      </c>
      <c r="F261" s="381">
        <f t="shared" si="94"/>
        <v>6.06058764300647E-4</v>
      </c>
      <c r="H261" s="381">
        <f t="shared" si="88"/>
        <v>1.8162261288144098E-4</v>
      </c>
      <c r="I261" s="381">
        <f t="shared" si="89"/>
        <v>3.1972801509554751E-4</v>
      </c>
      <c r="J261" s="381">
        <f t="shared" si="90"/>
        <v>9.6756977952810035E-5</v>
      </c>
      <c r="K261" s="381">
        <f t="shared" si="91"/>
        <v>1.7508482854981686E-4</v>
      </c>
    </row>
    <row r="262" spans="1:11" x14ac:dyDescent="0.2">
      <c r="A262" s="214" t="s">
        <v>320</v>
      </c>
      <c r="B262" s="215" t="s">
        <v>319</v>
      </c>
      <c r="C262" s="713">
        <v>2600</v>
      </c>
      <c r="D262" s="374">
        <f t="shared" si="95"/>
        <v>216.66666666666666</v>
      </c>
      <c r="E262" s="838">
        <v>2599.9899999999998</v>
      </c>
      <c r="F262" s="381">
        <f t="shared" si="94"/>
        <v>3.7517923504325765E-3</v>
      </c>
      <c r="H262" s="381">
        <f t="shared" si="88"/>
        <v>1.1243304606946346E-3</v>
      </c>
      <c r="I262" s="381">
        <f t="shared" si="89"/>
        <v>1.963088938667814E-3</v>
      </c>
      <c r="J262" s="381">
        <f t="shared" si="90"/>
        <v>5.9897176827930021E-4</v>
      </c>
      <c r="K262" s="381">
        <f t="shared" si="91"/>
        <v>1.0749983549360939E-3</v>
      </c>
    </row>
    <row r="263" spans="1:11" x14ac:dyDescent="0.2">
      <c r="A263" s="214" t="s">
        <v>318</v>
      </c>
      <c r="B263" s="215" t="s">
        <v>317</v>
      </c>
      <c r="C263" s="713">
        <v>1200</v>
      </c>
      <c r="D263" s="374">
        <f t="shared" si="95"/>
        <v>100</v>
      </c>
      <c r="E263" s="838">
        <v>1115.6600000000001</v>
      </c>
      <c r="F263" s="381">
        <f t="shared" si="94"/>
        <v>1.7315964694304198E-3</v>
      </c>
      <c r="H263" s="381">
        <f t="shared" si="88"/>
        <v>5.1892175108983138E-4</v>
      </c>
      <c r="I263" s="381">
        <f t="shared" si="89"/>
        <v>8.4236470344660312E-4</v>
      </c>
      <c r="J263" s="381">
        <f t="shared" si="90"/>
        <v>2.7644850843660011E-4</v>
      </c>
      <c r="K263" s="381">
        <f t="shared" si="91"/>
        <v>4.6128356827064825E-4</v>
      </c>
    </row>
    <row r="264" spans="1:11" x14ac:dyDescent="0.2">
      <c r="A264" s="214" t="s">
        <v>316</v>
      </c>
      <c r="B264" s="215" t="s">
        <v>315</v>
      </c>
      <c r="C264" s="713">
        <v>900</v>
      </c>
      <c r="D264" s="374">
        <f t="shared" si="95"/>
        <v>75</v>
      </c>
      <c r="E264" s="838">
        <v>894.79</v>
      </c>
      <c r="F264" s="381">
        <f t="shared" si="94"/>
        <v>1.298697352072815E-3</v>
      </c>
      <c r="H264" s="381">
        <f t="shared" ref="H264:H309" si="96">C264/$C$131</f>
        <v>3.8919131331737356E-4</v>
      </c>
      <c r="I264" s="381">
        <f t="shared" ref="I264:I309" si="97">E264/$E$131</f>
        <v>6.7559965670274636E-4</v>
      </c>
      <c r="J264" s="381">
        <f t="shared" ref="J264:J309" si="98">C264/$C$28</f>
        <v>2.0733638132745008E-4</v>
      </c>
      <c r="K264" s="381">
        <f t="shared" ref="K264:K309" si="99">E264/$E$28</f>
        <v>3.6996210678243667E-4</v>
      </c>
    </row>
    <row r="265" spans="1:11" x14ac:dyDescent="0.2">
      <c r="A265" s="214" t="s">
        <v>314</v>
      </c>
      <c r="B265" s="215" t="s">
        <v>313</v>
      </c>
      <c r="C265" s="713">
        <v>120</v>
      </c>
      <c r="D265" s="374">
        <f t="shared" si="95"/>
        <v>10</v>
      </c>
      <c r="E265" s="838">
        <v>106.69</v>
      </c>
      <c r="F265" s="381">
        <f t="shared" si="94"/>
        <v>1.7315964694304198E-4</v>
      </c>
      <c r="H265" s="381">
        <f t="shared" si="96"/>
        <v>5.1892175108983138E-5</v>
      </c>
      <c r="I265" s="381">
        <f t="shared" si="97"/>
        <v>8.0554909390601154E-5</v>
      </c>
      <c r="J265" s="381">
        <f t="shared" si="98"/>
        <v>2.7644850843660011E-5</v>
      </c>
      <c r="K265" s="381">
        <f t="shared" si="99"/>
        <v>4.4112313696641858E-5</v>
      </c>
    </row>
    <row r="266" spans="1:11" x14ac:dyDescent="0.2">
      <c r="A266" s="234"/>
      <c r="B266" s="235"/>
      <c r="C266" s="232"/>
      <c r="D266" s="392"/>
      <c r="E266" s="393"/>
      <c r="F266" s="386"/>
      <c r="G266" s="204"/>
      <c r="H266" s="386"/>
      <c r="I266" s="386"/>
      <c r="J266" s="386"/>
      <c r="K266" s="386"/>
    </row>
    <row r="267" spans="1:11" ht="12" thickBot="1" x14ac:dyDescent="0.25">
      <c r="A267" s="261"/>
      <c r="B267" s="252" t="s">
        <v>956</v>
      </c>
      <c r="C267" s="253">
        <f t="shared" ref="C267:D267" si="100">SUM(C233:C266)</f>
        <v>228516</v>
      </c>
      <c r="D267" s="404">
        <f t="shared" si="100"/>
        <v>19043.000000000004</v>
      </c>
      <c r="E267" s="404">
        <f>SUM(E233:E266)</f>
        <v>280438.03999999998</v>
      </c>
      <c r="F267" s="398">
        <f t="shared" ref="F267:J267" si="101">SUM(F234:F266)</f>
        <v>0.32974791567363498</v>
      </c>
      <c r="G267" s="398">
        <f t="shared" si="101"/>
        <v>0</v>
      </c>
      <c r="H267" s="398">
        <f t="shared" si="101"/>
        <v>9.8818269060036573E-2</v>
      </c>
      <c r="I267" s="398">
        <f t="shared" si="101"/>
        <v>0.21174112758344535</v>
      </c>
      <c r="J267" s="398">
        <f t="shared" si="101"/>
        <v>5.264408946158175E-2</v>
      </c>
      <c r="K267" s="398">
        <f>SUM(K234:K266)</f>
        <v>0.11595061198754705</v>
      </c>
    </row>
    <row r="268" spans="1:11" x14ac:dyDescent="0.2">
      <c r="A268" s="214"/>
      <c r="B268" s="215"/>
      <c r="C268" s="245"/>
      <c r="E268" s="380"/>
      <c r="F268" s="381"/>
      <c r="H268" s="381"/>
      <c r="I268" s="381"/>
      <c r="J268" s="381"/>
      <c r="K268" s="381"/>
    </row>
    <row r="269" spans="1:11" x14ac:dyDescent="0.2">
      <c r="A269" s="214"/>
      <c r="B269" s="244" t="s">
        <v>957</v>
      </c>
      <c r="C269" s="245"/>
      <c r="E269" s="380"/>
      <c r="F269" s="381"/>
      <c r="H269" s="381"/>
      <c r="I269" s="381"/>
      <c r="J269" s="381"/>
      <c r="K269" s="381"/>
    </row>
    <row r="270" spans="1:11" x14ac:dyDescent="0.2">
      <c r="A270" s="214" t="s">
        <v>312</v>
      </c>
      <c r="B270" s="215" t="s">
        <v>311</v>
      </c>
      <c r="C270" s="713">
        <v>0</v>
      </c>
      <c r="D270" s="374">
        <f t="shared" si="95"/>
        <v>0</v>
      </c>
      <c r="E270" s="841">
        <v>0</v>
      </c>
      <c r="F270" s="381">
        <f t="shared" ref="F270:F276" si="102">C270/$C$316</f>
        <v>0</v>
      </c>
      <c r="H270" s="381">
        <f t="shared" si="96"/>
        <v>0</v>
      </c>
      <c r="I270" s="381">
        <f t="shared" si="97"/>
        <v>0</v>
      </c>
      <c r="J270" s="381">
        <f t="shared" si="98"/>
        <v>0</v>
      </c>
      <c r="K270" s="381">
        <f t="shared" si="99"/>
        <v>0</v>
      </c>
    </row>
    <row r="271" spans="1:11" x14ac:dyDescent="0.2">
      <c r="A271" s="214" t="s">
        <v>310</v>
      </c>
      <c r="B271" s="215" t="s">
        <v>309</v>
      </c>
      <c r="C271" s="713">
        <v>421.68</v>
      </c>
      <c r="D271" s="374">
        <f t="shared" si="95"/>
        <v>35.14</v>
      </c>
      <c r="E271" s="841">
        <v>0</v>
      </c>
      <c r="F271" s="381">
        <f t="shared" si="102"/>
        <v>6.0848299935784955E-4</v>
      </c>
      <c r="H271" s="381">
        <f t="shared" si="96"/>
        <v>1.8234910333296675E-4</v>
      </c>
      <c r="I271" s="381">
        <f t="shared" si="97"/>
        <v>0</v>
      </c>
      <c r="J271" s="381">
        <f t="shared" si="98"/>
        <v>9.7144005864621279E-5</v>
      </c>
      <c r="K271" s="381">
        <f t="shared" si="99"/>
        <v>0</v>
      </c>
    </row>
    <row r="272" spans="1:11" x14ac:dyDescent="0.2">
      <c r="A272" s="214" t="s">
        <v>304</v>
      </c>
      <c r="B272" s="215" t="s">
        <v>308</v>
      </c>
      <c r="C272" s="713">
        <v>0</v>
      </c>
      <c r="D272" s="374">
        <f t="shared" si="95"/>
        <v>0</v>
      </c>
      <c r="E272" s="841">
        <v>25033.72</v>
      </c>
      <c r="F272" s="381">
        <f t="shared" si="102"/>
        <v>0</v>
      </c>
      <c r="H272" s="381">
        <f t="shared" si="96"/>
        <v>0</v>
      </c>
      <c r="I272" s="381">
        <f t="shared" si="97"/>
        <v>1.8901387630609053E-2</v>
      </c>
      <c r="J272" s="381">
        <f t="shared" si="98"/>
        <v>0</v>
      </c>
      <c r="K272" s="381">
        <f t="shared" si="99"/>
        <v>1.0350504354990133E-2</v>
      </c>
    </row>
    <row r="273" spans="1:11" x14ac:dyDescent="0.2">
      <c r="A273" s="225" t="s">
        <v>307</v>
      </c>
      <c r="B273" s="215" t="s">
        <v>306</v>
      </c>
      <c r="C273" s="713">
        <v>0</v>
      </c>
      <c r="D273" s="374">
        <f t="shared" si="95"/>
        <v>0</v>
      </c>
      <c r="E273" s="841">
        <v>0</v>
      </c>
      <c r="F273" s="381">
        <f t="shared" si="102"/>
        <v>0</v>
      </c>
      <c r="H273" s="381">
        <f t="shared" si="96"/>
        <v>0</v>
      </c>
      <c r="I273" s="381">
        <f t="shared" si="97"/>
        <v>0</v>
      </c>
      <c r="J273" s="381">
        <f t="shared" si="98"/>
        <v>0</v>
      </c>
      <c r="K273" s="381">
        <f t="shared" si="99"/>
        <v>0</v>
      </c>
    </row>
    <row r="274" spans="1:11" x14ac:dyDescent="0.2">
      <c r="A274" s="214" t="s">
        <v>305</v>
      </c>
      <c r="B274" s="215" t="s">
        <v>1032</v>
      </c>
      <c r="C274" s="713">
        <v>0</v>
      </c>
      <c r="D274" s="374">
        <f t="shared" si="95"/>
        <v>0</v>
      </c>
      <c r="E274" s="841">
        <v>0</v>
      </c>
      <c r="F274" s="381">
        <f t="shared" si="102"/>
        <v>0</v>
      </c>
      <c r="H274" s="381">
        <f t="shared" si="96"/>
        <v>0</v>
      </c>
      <c r="I274" s="381">
        <f t="shared" si="97"/>
        <v>0</v>
      </c>
      <c r="J274" s="381">
        <f t="shared" si="98"/>
        <v>0</v>
      </c>
      <c r="K274" s="381">
        <f t="shared" si="99"/>
        <v>0</v>
      </c>
    </row>
    <row r="275" spans="1:11" x14ac:dyDescent="0.2">
      <c r="A275" s="214" t="s">
        <v>304</v>
      </c>
      <c r="B275" s="215" t="s">
        <v>303</v>
      </c>
      <c r="C275" s="713">
        <v>0</v>
      </c>
      <c r="D275" s="374">
        <f t="shared" ref="D275:D309" si="103">C275/12</f>
        <v>0</v>
      </c>
      <c r="E275" s="841"/>
      <c r="F275" s="381">
        <f t="shared" si="102"/>
        <v>0</v>
      </c>
      <c r="H275" s="381">
        <f t="shared" si="96"/>
        <v>0</v>
      </c>
      <c r="I275" s="381">
        <f t="shared" si="97"/>
        <v>0</v>
      </c>
      <c r="J275" s="381">
        <f t="shared" si="98"/>
        <v>0</v>
      </c>
      <c r="K275" s="381">
        <f t="shared" si="99"/>
        <v>0</v>
      </c>
    </row>
    <row r="276" spans="1:11" x14ac:dyDescent="0.2">
      <c r="A276" s="262" t="s">
        <v>302</v>
      </c>
      <c r="B276" s="235" t="s">
        <v>301</v>
      </c>
      <c r="C276" s="713">
        <v>0</v>
      </c>
      <c r="D276" s="392">
        <f t="shared" si="103"/>
        <v>0</v>
      </c>
      <c r="E276" s="841">
        <v>421.68</v>
      </c>
      <c r="F276" s="386">
        <f t="shared" si="102"/>
        <v>0</v>
      </c>
      <c r="G276" s="204"/>
      <c r="H276" s="386">
        <f t="shared" si="96"/>
        <v>0</v>
      </c>
      <c r="I276" s="386">
        <f t="shared" si="97"/>
        <v>3.1838404903766705E-4</v>
      </c>
      <c r="J276" s="386">
        <f t="shared" si="98"/>
        <v>0</v>
      </c>
      <c r="K276" s="386">
        <f t="shared" si="99"/>
        <v>1.7434886530696354E-4</v>
      </c>
    </row>
    <row r="277" spans="1:11" x14ac:dyDescent="0.2">
      <c r="A277" s="225"/>
      <c r="B277" s="215"/>
      <c r="C277" s="245"/>
      <c r="E277" s="414"/>
      <c r="F277" s="381"/>
      <c r="H277" s="381"/>
      <c r="I277" s="381"/>
      <c r="J277" s="381"/>
      <c r="K277" s="381"/>
    </row>
    <row r="278" spans="1:11" ht="12" thickBot="1" x14ac:dyDescent="0.25">
      <c r="A278" s="252" t="s">
        <v>958</v>
      </c>
      <c r="B278" s="266"/>
      <c r="C278" s="267">
        <f t="shared" ref="C278:D278" si="104">SUM(C269:C277)</f>
        <v>421.68</v>
      </c>
      <c r="D278" s="415">
        <f t="shared" si="104"/>
        <v>35.14</v>
      </c>
      <c r="E278" s="415">
        <f>SUM(E269:E277)</f>
        <v>25455.4</v>
      </c>
      <c r="F278" s="398">
        <f t="shared" ref="F278:J278" si="105">SUM(F269:F277)</f>
        <v>6.0848299935784955E-4</v>
      </c>
      <c r="G278" s="398">
        <f t="shared" si="105"/>
        <v>0</v>
      </c>
      <c r="H278" s="398">
        <f t="shared" si="105"/>
        <v>1.8234910333296675E-4</v>
      </c>
      <c r="I278" s="398">
        <f t="shared" si="105"/>
        <v>1.9219771679646721E-2</v>
      </c>
      <c r="J278" s="398">
        <f t="shared" si="105"/>
        <v>9.7144005864621279E-5</v>
      </c>
      <c r="K278" s="398">
        <f>SUM(K269:K277)</f>
        <v>1.0524853220297095E-2</v>
      </c>
    </row>
    <row r="279" spans="1:11" x14ac:dyDescent="0.2">
      <c r="A279" s="225"/>
      <c r="B279" s="215"/>
      <c r="C279" s="245"/>
      <c r="E279" s="414"/>
      <c r="F279" s="381"/>
      <c r="H279" s="381"/>
      <c r="I279" s="381"/>
      <c r="J279" s="381"/>
      <c r="K279" s="381"/>
    </row>
    <row r="280" spans="1:11" x14ac:dyDescent="0.2">
      <c r="A280" s="225"/>
      <c r="B280" s="244" t="s">
        <v>959</v>
      </c>
      <c r="C280" s="245"/>
      <c r="E280" s="414"/>
      <c r="F280" s="381"/>
      <c r="H280" s="381"/>
      <c r="I280" s="381"/>
      <c r="J280" s="381"/>
      <c r="K280" s="381"/>
    </row>
    <row r="281" spans="1:11" x14ac:dyDescent="0.2">
      <c r="A281" s="214" t="s">
        <v>1036</v>
      </c>
      <c r="B281" s="215" t="s">
        <v>1021</v>
      </c>
      <c r="C281" s="713">
        <v>0</v>
      </c>
      <c r="D281" s="374">
        <f t="shared" si="103"/>
        <v>0</v>
      </c>
      <c r="E281" s="838">
        <v>0</v>
      </c>
      <c r="F281" s="381">
        <f t="shared" ref="F281:F288" si="106">C281/$C$316</f>
        <v>0</v>
      </c>
      <c r="H281" s="381">
        <f t="shared" si="96"/>
        <v>0</v>
      </c>
      <c r="I281" s="381">
        <f t="shared" si="97"/>
        <v>0</v>
      </c>
      <c r="J281" s="381">
        <f t="shared" si="98"/>
        <v>0</v>
      </c>
      <c r="K281" s="381">
        <f t="shared" si="99"/>
        <v>0</v>
      </c>
    </row>
    <row r="282" spans="1:11" x14ac:dyDescent="0.2">
      <c r="A282" s="214" t="s">
        <v>300</v>
      </c>
      <c r="B282" s="215" t="s">
        <v>1021</v>
      </c>
      <c r="C282" s="713">
        <v>0</v>
      </c>
      <c r="D282" s="374">
        <f t="shared" si="103"/>
        <v>0</v>
      </c>
      <c r="E282" s="838">
        <v>0</v>
      </c>
      <c r="F282" s="381">
        <f t="shared" si="106"/>
        <v>0</v>
      </c>
      <c r="H282" s="381">
        <f t="shared" si="96"/>
        <v>0</v>
      </c>
      <c r="I282" s="381">
        <f t="shared" si="97"/>
        <v>0</v>
      </c>
      <c r="J282" s="381">
        <f t="shared" si="98"/>
        <v>0</v>
      </c>
      <c r="K282" s="381">
        <f t="shared" si="99"/>
        <v>0</v>
      </c>
    </row>
    <row r="283" spans="1:11" x14ac:dyDescent="0.2">
      <c r="A283" s="214" t="s">
        <v>299</v>
      </c>
      <c r="B283" s="215" t="s">
        <v>1021</v>
      </c>
      <c r="C283" s="713">
        <v>0</v>
      </c>
      <c r="D283" s="374">
        <f t="shared" si="103"/>
        <v>0</v>
      </c>
      <c r="E283" s="838">
        <v>0</v>
      </c>
      <c r="F283" s="381">
        <f t="shared" si="106"/>
        <v>0</v>
      </c>
      <c r="H283" s="381">
        <f t="shared" si="96"/>
        <v>0</v>
      </c>
      <c r="I283" s="381">
        <f t="shared" si="97"/>
        <v>0</v>
      </c>
      <c r="J283" s="381">
        <f t="shared" si="98"/>
        <v>0</v>
      </c>
      <c r="K283" s="381">
        <f t="shared" si="99"/>
        <v>0</v>
      </c>
    </row>
    <row r="284" spans="1:11" x14ac:dyDescent="0.2">
      <c r="A284" s="214" t="s">
        <v>295</v>
      </c>
      <c r="B284" s="215" t="s">
        <v>1021</v>
      </c>
      <c r="C284" s="713">
        <v>0</v>
      </c>
      <c r="D284" s="374">
        <f t="shared" si="103"/>
        <v>0</v>
      </c>
      <c r="E284" s="838">
        <v>0</v>
      </c>
      <c r="F284" s="381">
        <f t="shared" si="106"/>
        <v>0</v>
      </c>
      <c r="H284" s="381">
        <f t="shared" si="96"/>
        <v>0</v>
      </c>
      <c r="I284" s="381">
        <f t="shared" si="97"/>
        <v>0</v>
      </c>
      <c r="J284" s="381">
        <f t="shared" si="98"/>
        <v>0</v>
      </c>
      <c r="K284" s="381">
        <f t="shared" si="99"/>
        <v>0</v>
      </c>
    </row>
    <row r="285" spans="1:11" x14ac:dyDescent="0.2">
      <c r="A285" s="214" t="s">
        <v>293</v>
      </c>
      <c r="B285" s="215" t="s">
        <v>298</v>
      </c>
      <c r="C285" s="713">
        <v>0</v>
      </c>
      <c r="D285" s="374">
        <f t="shared" si="103"/>
        <v>0</v>
      </c>
      <c r="E285" s="838">
        <v>0</v>
      </c>
      <c r="F285" s="381">
        <f t="shared" si="106"/>
        <v>0</v>
      </c>
      <c r="H285" s="381">
        <f t="shared" si="96"/>
        <v>0</v>
      </c>
      <c r="I285" s="381">
        <f t="shared" si="97"/>
        <v>0</v>
      </c>
      <c r="J285" s="381">
        <f t="shared" si="98"/>
        <v>0</v>
      </c>
      <c r="K285" s="381">
        <f t="shared" si="99"/>
        <v>0</v>
      </c>
    </row>
    <row r="286" spans="1:11" x14ac:dyDescent="0.2">
      <c r="A286" s="214" t="s">
        <v>297</v>
      </c>
      <c r="B286" s="215" t="s">
        <v>296</v>
      </c>
      <c r="C286" s="713">
        <v>0</v>
      </c>
      <c r="D286" s="374">
        <f t="shared" si="103"/>
        <v>0</v>
      </c>
      <c r="E286" s="838">
        <v>0</v>
      </c>
      <c r="F286" s="381">
        <f t="shared" si="106"/>
        <v>0</v>
      </c>
      <c r="H286" s="381">
        <f t="shared" si="96"/>
        <v>0</v>
      </c>
      <c r="I286" s="381">
        <f t="shared" si="97"/>
        <v>0</v>
      </c>
      <c r="J286" s="381">
        <f t="shared" si="98"/>
        <v>0</v>
      </c>
      <c r="K286" s="381">
        <f t="shared" si="99"/>
        <v>0</v>
      </c>
    </row>
    <row r="287" spans="1:11" x14ac:dyDescent="0.2">
      <c r="A287" s="214" t="s">
        <v>295</v>
      </c>
      <c r="B287" s="215" t="s">
        <v>294</v>
      </c>
      <c r="C287" s="713">
        <v>0</v>
      </c>
      <c r="D287" s="374">
        <f t="shared" si="103"/>
        <v>0</v>
      </c>
      <c r="E287" s="838">
        <v>0</v>
      </c>
      <c r="F287" s="381">
        <f t="shared" si="106"/>
        <v>0</v>
      </c>
      <c r="H287" s="381">
        <f t="shared" si="96"/>
        <v>0</v>
      </c>
      <c r="I287" s="381">
        <f t="shared" si="97"/>
        <v>0</v>
      </c>
      <c r="J287" s="381">
        <f t="shared" si="98"/>
        <v>0</v>
      </c>
      <c r="K287" s="381">
        <f t="shared" si="99"/>
        <v>0</v>
      </c>
    </row>
    <row r="288" spans="1:11" x14ac:dyDescent="0.2">
      <c r="A288" s="234" t="s">
        <v>293</v>
      </c>
      <c r="B288" s="235" t="s">
        <v>292</v>
      </c>
      <c r="C288" s="713">
        <v>0</v>
      </c>
      <c r="D288" s="392">
        <f t="shared" si="103"/>
        <v>0</v>
      </c>
      <c r="E288" s="838">
        <v>0</v>
      </c>
      <c r="F288" s="386">
        <f t="shared" si="106"/>
        <v>0</v>
      </c>
      <c r="G288" s="204"/>
      <c r="H288" s="386">
        <f t="shared" si="96"/>
        <v>0</v>
      </c>
      <c r="I288" s="386">
        <f t="shared" si="97"/>
        <v>0</v>
      </c>
      <c r="J288" s="386">
        <f t="shared" si="98"/>
        <v>0</v>
      </c>
      <c r="K288" s="386">
        <f t="shared" si="99"/>
        <v>0</v>
      </c>
    </row>
    <row r="289" spans="1:11" x14ac:dyDescent="0.2">
      <c r="A289" s="214"/>
      <c r="B289" s="215"/>
      <c r="C289" s="245"/>
      <c r="E289" s="380"/>
      <c r="F289" s="381"/>
      <c r="H289" s="381"/>
      <c r="I289" s="381"/>
      <c r="J289" s="381"/>
      <c r="K289" s="381"/>
    </row>
    <row r="290" spans="1:11" ht="12" thickBot="1" x14ac:dyDescent="0.25">
      <c r="A290" s="261"/>
      <c r="B290" s="252" t="s">
        <v>960</v>
      </c>
      <c r="C290" s="253">
        <f t="shared" ref="C290:D290" si="107">SUM(C280:C289)</f>
        <v>0</v>
      </c>
      <c r="D290" s="404">
        <f t="shared" si="107"/>
        <v>0</v>
      </c>
      <c r="E290" s="404">
        <f>SUM(E280:E289)</f>
        <v>0</v>
      </c>
      <c r="F290" s="398">
        <f t="shared" ref="F290:J290" si="108">SUM(F281:F289)</f>
        <v>0</v>
      </c>
      <c r="G290" s="398">
        <f t="shared" si="108"/>
        <v>0</v>
      </c>
      <c r="H290" s="398">
        <f t="shared" si="108"/>
        <v>0</v>
      </c>
      <c r="I290" s="398">
        <f t="shared" si="108"/>
        <v>0</v>
      </c>
      <c r="J290" s="398">
        <f t="shared" si="108"/>
        <v>0</v>
      </c>
      <c r="K290" s="398">
        <f>SUM(K281:K289)</f>
        <v>0</v>
      </c>
    </row>
    <row r="291" spans="1:11" x14ac:dyDescent="0.2">
      <c r="A291" s="214"/>
      <c r="B291" s="215"/>
      <c r="C291" s="245"/>
      <c r="E291" s="380"/>
      <c r="F291" s="381"/>
      <c r="H291" s="381"/>
      <c r="I291" s="381"/>
      <c r="J291" s="381"/>
      <c r="K291" s="381"/>
    </row>
    <row r="292" spans="1:11" x14ac:dyDescent="0.2">
      <c r="A292" s="214"/>
      <c r="B292" s="244" t="s">
        <v>961</v>
      </c>
      <c r="C292" s="245"/>
      <c r="E292" s="380"/>
      <c r="F292" s="381"/>
      <c r="H292" s="381"/>
      <c r="I292" s="381"/>
      <c r="J292" s="381"/>
      <c r="K292" s="381"/>
    </row>
    <row r="293" spans="1:11" x14ac:dyDescent="0.2">
      <c r="A293" s="214" t="s">
        <v>291</v>
      </c>
      <c r="B293" s="215" t="s">
        <v>290</v>
      </c>
      <c r="C293" s="713">
        <v>0</v>
      </c>
      <c r="D293" s="374">
        <f t="shared" si="103"/>
        <v>0</v>
      </c>
      <c r="E293" s="838">
        <v>0</v>
      </c>
      <c r="F293" s="381">
        <f t="shared" ref="F293:F310" si="109">C293/$C$316</f>
        <v>0</v>
      </c>
      <c r="H293" s="381">
        <f t="shared" si="96"/>
        <v>0</v>
      </c>
      <c r="I293" s="381">
        <f t="shared" si="97"/>
        <v>0</v>
      </c>
      <c r="J293" s="381">
        <f t="shared" si="98"/>
        <v>0</v>
      </c>
      <c r="K293" s="381">
        <f t="shared" si="99"/>
        <v>0</v>
      </c>
    </row>
    <row r="294" spans="1:11" x14ac:dyDescent="0.2">
      <c r="A294" s="214" t="s">
        <v>289</v>
      </c>
      <c r="B294" s="215" t="s">
        <v>288</v>
      </c>
      <c r="C294" s="713">
        <v>0</v>
      </c>
      <c r="D294" s="374">
        <f t="shared" si="103"/>
        <v>0</v>
      </c>
      <c r="E294" s="838">
        <v>0</v>
      </c>
      <c r="F294" s="381">
        <f t="shared" si="109"/>
        <v>0</v>
      </c>
      <c r="H294" s="381">
        <f t="shared" si="96"/>
        <v>0</v>
      </c>
      <c r="I294" s="381">
        <f t="shared" si="97"/>
        <v>0</v>
      </c>
      <c r="J294" s="381">
        <f t="shared" si="98"/>
        <v>0</v>
      </c>
      <c r="K294" s="381">
        <f t="shared" si="99"/>
        <v>0</v>
      </c>
    </row>
    <row r="295" spans="1:11" x14ac:dyDescent="0.2">
      <c r="A295" s="225" t="s">
        <v>287</v>
      </c>
      <c r="B295" s="215" t="s">
        <v>286</v>
      </c>
      <c r="C295" s="713">
        <v>700</v>
      </c>
      <c r="D295" s="374">
        <f t="shared" si="103"/>
        <v>58.333333333333336</v>
      </c>
      <c r="E295" s="838">
        <v>690.44</v>
      </c>
      <c r="F295" s="381">
        <f t="shared" si="109"/>
        <v>1.0100979405010782E-3</v>
      </c>
      <c r="H295" s="381">
        <f t="shared" si="96"/>
        <v>3.0270435480240165E-4</v>
      </c>
      <c r="I295" s="381">
        <f t="shared" si="97"/>
        <v>5.2130782303539845E-4</v>
      </c>
      <c r="J295" s="381">
        <f t="shared" si="98"/>
        <v>1.6126162992135005E-4</v>
      </c>
      <c r="K295" s="381">
        <f t="shared" si="99"/>
        <v>2.8547104572789774E-4</v>
      </c>
    </row>
    <row r="296" spans="1:11" x14ac:dyDescent="0.2">
      <c r="A296" s="214" t="s">
        <v>285</v>
      </c>
      <c r="B296" s="215" t="s">
        <v>284</v>
      </c>
      <c r="C296" s="713">
        <v>3600</v>
      </c>
      <c r="D296" s="374">
        <f t="shared" si="103"/>
        <v>300</v>
      </c>
      <c r="E296" s="838">
        <v>3540.8</v>
      </c>
      <c r="F296" s="381">
        <f t="shared" si="109"/>
        <v>5.1947894082912602E-3</v>
      </c>
      <c r="H296" s="381">
        <f t="shared" si="96"/>
        <v>1.5567652532694942E-3</v>
      </c>
      <c r="I296" s="381">
        <f t="shared" si="97"/>
        <v>2.6734354032265499E-3</v>
      </c>
      <c r="J296" s="381">
        <f t="shared" si="98"/>
        <v>8.2934552530980032E-4</v>
      </c>
      <c r="K296" s="381">
        <f t="shared" si="99"/>
        <v>1.4639880057837613E-3</v>
      </c>
    </row>
    <row r="297" spans="1:11" x14ac:dyDescent="0.2">
      <c r="A297" s="214" t="s">
        <v>283</v>
      </c>
      <c r="B297" s="215" t="s">
        <v>282</v>
      </c>
      <c r="C297" s="713">
        <v>0</v>
      </c>
      <c r="D297" s="374">
        <f t="shared" si="103"/>
        <v>0</v>
      </c>
      <c r="E297" s="838">
        <v>0</v>
      </c>
      <c r="F297" s="381">
        <f t="shared" si="109"/>
        <v>0</v>
      </c>
      <c r="H297" s="381">
        <f t="shared" si="96"/>
        <v>0</v>
      </c>
      <c r="I297" s="381">
        <f t="shared" si="97"/>
        <v>0</v>
      </c>
      <c r="J297" s="381">
        <f t="shared" si="98"/>
        <v>0</v>
      </c>
      <c r="K297" s="381">
        <f t="shared" si="99"/>
        <v>0</v>
      </c>
    </row>
    <row r="298" spans="1:11" x14ac:dyDescent="0.2">
      <c r="A298" s="214" t="s">
        <v>281</v>
      </c>
      <c r="B298" s="215" t="s">
        <v>280</v>
      </c>
      <c r="C298" s="713">
        <v>0</v>
      </c>
      <c r="D298" s="374">
        <f t="shared" si="103"/>
        <v>0</v>
      </c>
      <c r="E298" s="838">
        <v>0</v>
      </c>
      <c r="F298" s="381">
        <f t="shared" si="109"/>
        <v>0</v>
      </c>
      <c r="H298" s="381">
        <f t="shared" si="96"/>
        <v>0</v>
      </c>
      <c r="I298" s="381">
        <f t="shared" si="97"/>
        <v>0</v>
      </c>
      <c r="J298" s="381">
        <f t="shared" si="98"/>
        <v>0</v>
      </c>
      <c r="K298" s="381">
        <f t="shared" si="99"/>
        <v>0</v>
      </c>
    </row>
    <row r="299" spans="1:11" x14ac:dyDescent="0.2">
      <c r="A299" s="214" t="s">
        <v>279</v>
      </c>
      <c r="B299" s="215" t="s">
        <v>278</v>
      </c>
      <c r="C299" s="713">
        <v>3600</v>
      </c>
      <c r="D299" s="374">
        <f t="shared" si="103"/>
        <v>300</v>
      </c>
      <c r="E299" s="838">
        <v>3542.22</v>
      </c>
      <c r="F299" s="381">
        <f t="shared" si="109"/>
        <v>5.1947894082912602E-3</v>
      </c>
      <c r="H299" s="381">
        <f t="shared" si="96"/>
        <v>1.5567652532694942E-3</v>
      </c>
      <c r="I299" s="381">
        <f t="shared" si="97"/>
        <v>2.674507555924409E-3</v>
      </c>
      <c r="J299" s="381">
        <f t="shared" si="98"/>
        <v>8.2934552530980032E-4</v>
      </c>
      <c r="K299" s="381">
        <f t="shared" si="99"/>
        <v>1.46457512252806E-3</v>
      </c>
    </row>
    <row r="300" spans="1:11" x14ac:dyDescent="0.2">
      <c r="A300" s="214" t="s">
        <v>277</v>
      </c>
      <c r="B300" s="215" t="s">
        <v>276</v>
      </c>
      <c r="C300" s="713">
        <v>60000</v>
      </c>
      <c r="D300" s="374">
        <f t="shared" si="103"/>
        <v>5000</v>
      </c>
      <c r="E300" s="838">
        <v>58573.37</v>
      </c>
      <c r="F300" s="381">
        <f t="shared" si="109"/>
        <v>8.6579823471521003E-2</v>
      </c>
      <c r="H300" s="381">
        <f t="shared" si="96"/>
        <v>2.594608755449157E-2</v>
      </c>
      <c r="I300" s="381">
        <f t="shared" si="97"/>
        <v>4.4225068076222292E-2</v>
      </c>
      <c r="J300" s="381">
        <f t="shared" si="98"/>
        <v>1.3822425421830006E-2</v>
      </c>
      <c r="K300" s="381">
        <f t="shared" si="99"/>
        <v>2.4217891758454135E-2</v>
      </c>
    </row>
    <row r="301" spans="1:11" x14ac:dyDescent="0.2">
      <c r="A301" s="214" t="s">
        <v>275</v>
      </c>
      <c r="B301" s="215" t="s">
        <v>274</v>
      </c>
      <c r="C301" s="713">
        <v>0</v>
      </c>
      <c r="D301" s="374">
        <f t="shared" si="103"/>
        <v>0</v>
      </c>
      <c r="E301" s="838">
        <v>69.95</v>
      </c>
      <c r="F301" s="381">
        <f t="shared" si="109"/>
        <v>0</v>
      </c>
      <c r="H301" s="381">
        <f t="shared" si="96"/>
        <v>0</v>
      </c>
      <c r="I301" s="381">
        <f t="shared" si="97"/>
        <v>5.2814845926258796E-5</v>
      </c>
      <c r="J301" s="381">
        <f t="shared" si="98"/>
        <v>0</v>
      </c>
      <c r="K301" s="381">
        <f t="shared" si="99"/>
        <v>2.89217015941522E-5</v>
      </c>
    </row>
    <row r="302" spans="1:11" x14ac:dyDescent="0.2">
      <c r="A302" s="214" t="s">
        <v>273</v>
      </c>
      <c r="B302" s="215" t="s">
        <v>272</v>
      </c>
      <c r="C302" s="713">
        <v>0</v>
      </c>
      <c r="D302" s="374">
        <f t="shared" si="103"/>
        <v>0</v>
      </c>
      <c r="E302" s="838">
        <v>0</v>
      </c>
      <c r="F302" s="381">
        <f t="shared" si="109"/>
        <v>0</v>
      </c>
      <c r="H302" s="381">
        <f t="shared" si="96"/>
        <v>0</v>
      </c>
      <c r="I302" s="381">
        <f t="shared" si="97"/>
        <v>0</v>
      </c>
      <c r="J302" s="381">
        <f t="shared" si="98"/>
        <v>0</v>
      </c>
      <c r="K302" s="381">
        <f t="shared" si="99"/>
        <v>0</v>
      </c>
    </row>
    <row r="303" spans="1:11" x14ac:dyDescent="0.2">
      <c r="A303" s="214" t="s">
        <v>271</v>
      </c>
      <c r="B303" s="215" t="s">
        <v>939</v>
      </c>
      <c r="C303" s="713">
        <v>4500</v>
      </c>
      <c r="D303" s="374">
        <f t="shared" si="103"/>
        <v>375</v>
      </c>
      <c r="E303" s="838">
        <v>4495.5</v>
      </c>
      <c r="F303" s="381">
        <f t="shared" si="109"/>
        <v>6.4934867603640752E-3</v>
      </c>
      <c r="H303" s="381">
        <f t="shared" si="96"/>
        <v>1.9459565665868677E-3</v>
      </c>
      <c r="I303" s="381">
        <f t="shared" si="97"/>
        <v>3.3942693332594197E-3</v>
      </c>
      <c r="J303" s="381">
        <f t="shared" si="98"/>
        <v>1.0366819066372503E-3</v>
      </c>
      <c r="K303" s="381">
        <f t="shared" si="99"/>
        <v>1.8587206507006606E-3</v>
      </c>
    </row>
    <row r="304" spans="1:11" x14ac:dyDescent="0.2">
      <c r="A304" s="214" t="s">
        <v>270</v>
      </c>
      <c r="B304" s="215" t="s">
        <v>269</v>
      </c>
      <c r="C304" s="713">
        <v>3600</v>
      </c>
      <c r="D304" s="374">
        <f t="shared" si="103"/>
        <v>300</v>
      </c>
      <c r="E304" s="838">
        <v>0</v>
      </c>
      <c r="F304" s="381">
        <f t="shared" si="109"/>
        <v>5.1947894082912602E-3</v>
      </c>
      <c r="H304" s="381">
        <f t="shared" si="96"/>
        <v>1.5567652532694942E-3</v>
      </c>
      <c r="I304" s="381">
        <f t="shared" si="97"/>
        <v>0</v>
      </c>
      <c r="J304" s="381">
        <f t="shared" si="98"/>
        <v>8.2934552530980032E-4</v>
      </c>
      <c r="K304" s="381">
        <f t="shared" si="99"/>
        <v>0</v>
      </c>
    </row>
    <row r="305" spans="1:11" x14ac:dyDescent="0.2">
      <c r="A305" s="214" t="s">
        <v>940</v>
      </c>
      <c r="B305" s="215" t="s">
        <v>941</v>
      </c>
      <c r="C305" s="713">
        <v>0</v>
      </c>
      <c r="D305" s="374">
        <f t="shared" si="103"/>
        <v>0</v>
      </c>
      <c r="E305" s="838">
        <v>895.37</v>
      </c>
      <c r="F305" s="381">
        <f t="shared" si="109"/>
        <v>0</v>
      </c>
      <c r="H305" s="381">
        <f t="shared" ref="H305" si="110">C305/$C$131</f>
        <v>0</v>
      </c>
      <c r="I305" s="381">
        <f t="shared" ref="I305" si="111">E305/$E$131</f>
        <v>6.7603757822722423E-4</v>
      </c>
      <c r="J305" s="381">
        <f t="shared" ref="J305" si="112">C305/$C$28</f>
        <v>0</v>
      </c>
      <c r="K305" s="381">
        <f t="shared" ref="K305" si="113">E305/$E$28</f>
        <v>3.7020191503010801E-4</v>
      </c>
    </row>
    <row r="306" spans="1:11" x14ac:dyDescent="0.2">
      <c r="A306" s="214" t="s">
        <v>268</v>
      </c>
      <c r="B306" s="215" t="s">
        <v>267</v>
      </c>
      <c r="C306" s="713">
        <v>7000</v>
      </c>
      <c r="D306" s="374">
        <f t="shared" si="103"/>
        <v>583.33333333333337</v>
      </c>
      <c r="E306" s="838">
        <v>7788.9</v>
      </c>
      <c r="F306" s="381">
        <f t="shared" si="109"/>
        <v>1.0100979405010783E-2</v>
      </c>
      <c r="H306" s="381">
        <f t="shared" si="96"/>
        <v>3.0270435480240165E-3</v>
      </c>
      <c r="I306" s="381">
        <f t="shared" si="97"/>
        <v>5.8809085551828032E-3</v>
      </c>
      <c r="J306" s="381">
        <f t="shared" si="98"/>
        <v>1.6126162992135006E-3</v>
      </c>
      <c r="K306" s="381">
        <f t="shared" si="99"/>
        <v>3.2204180349777278E-3</v>
      </c>
    </row>
    <row r="307" spans="1:11" x14ac:dyDescent="0.2">
      <c r="A307" s="225" t="s">
        <v>266</v>
      </c>
      <c r="B307" s="215" t="s">
        <v>265</v>
      </c>
      <c r="C307" s="713">
        <v>6000</v>
      </c>
      <c r="D307" s="374">
        <f t="shared" si="103"/>
        <v>500</v>
      </c>
      <c r="E307" s="838">
        <v>6369.24</v>
      </c>
      <c r="F307" s="381">
        <f t="shared" si="109"/>
        <v>8.6579823471521003E-3</v>
      </c>
      <c r="H307" s="381">
        <f t="shared" si="96"/>
        <v>2.5946087554491568E-3</v>
      </c>
      <c r="I307" s="381">
        <f t="shared" si="97"/>
        <v>4.8090125699408797E-3</v>
      </c>
      <c r="J307" s="381">
        <f t="shared" si="98"/>
        <v>1.3822425421830006E-3</v>
      </c>
      <c r="K307" s="381">
        <f t="shared" si="99"/>
        <v>2.6334418679276332E-3</v>
      </c>
    </row>
    <row r="308" spans="1:11" x14ac:dyDescent="0.2">
      <c r="A308" s="214" t="s">
        <v>264</v>
      </c>
      <c r="B308" s="215" t="s">
        <v>263</v>
      </c>
      <c r="C308" s="713">
        <v>0</v>
      </c>
      <c r="D308" s="374">
        <f t="shared" si="103"/>
        <v>0</v>
      </c>
      <c r="E308" s="838">
        <v>0</v>
      </c>
      <c r="F308" s="381">
        <f t="shared" si="109"/>
        <v>0</v>
      </c>
      <c r="H308" s="381">
        <f t="shared" si="96"/>
        <v>0</v>
      </c>
      <c r="I308" s="381">
        <f t="shared" si="97"/>
        <v>0</v>
      </c>
      <c r="J308" s="381">
        <f t="shared" si="98"/>
        <v>0</v>
      </c>
      <c r="K308" s="381">
        <f t="shared" si="99"/>
        <v>0</v>
      </c>
    </row>
    <row r="309" spans="1:11" x14ac:dyDescent="0.2">
      <c r="A309" s="214" t="s">
        <v>262</v>
      </c>
      <c r="B309" s="215" t="s">
        <v>261</v>
      </c>
      <c r="C309" s="713">
        <v>-600</v>
      </c>
      <c r="D309" s="374">
        <f t="shared" si="103"/>
        <v>-50</v>
      </c>
      <c r="E309" s="838">
        <v>-752</v>
      </c>
      <c r="F309" s="381">
        <f t="shared" si="109"/>
        <v>-8.6579823471520992E-4</v>
      </c>
      <c r="H309" s="381">
        <f t="shared" si="96"/>
        <v>-2.5946087554491569E-4</v>
      </c>
      <c r="I309" s="381">
        <f t="shared" si="97"/>
        <v>-5.677879075989509E-4</v>
      </c>
      <c r="J309" s="381">
        <f t="shared" si="98"/>
        <v>-1.3822425421830005E-4</v>
      </c>
      <c r="K309" s="381">
        <f t="shared" si="99"/>
        <v>-3.1092379698073559E-4</v>
      </c>
    </row>
    <row r="310" spans="1:11" x14ac:dyDescent="0.2">
      <c r="A310" s="214" t="s">
        <v>260</v>
      </c>
      <c r="B310" s="215" t="s">
        <v>259</v>
      </c>
      <c r="C310" s="713">
        <v>0</v>
      </c>
      <c r="D310" s="392">
        <f>C310/12</f>
        <v>0</v>
      </c>
      <c r="E310" s="838">
        <v>0</v>
      </c>
      <c r="F310" s="381">
        <f t="shared" si="109"/>
        <v>0</v>
      </c>
      <c r="H310" s="381">
        <f>C310/$C$131</f>
        <v>0</v>
      </c>
      <c r="I310" s="381">
        <f>E310/$E$131</f>
        <v>0</v>
      </c>
      <c r="J310" s="381">
        <f>C310/$C$28</f>
        <v>0</v>
      </c>
      <c r="K310" s="381">
        <f>E310/$E$28</f>
        <v>0</v>
      </c>
    </row>
    <row r="311" spans="1:11" x14ac:dyDescent="0.2">
      <c r="A311" s="234"/>
      <c r="B311" s="235"/>
      <c r="C311" s="232"/>
      <c r="D311" s="392"/>
      <c r="E311" s="393"/>
      <c r="F311" s="386"/>
      <c r="G311" s="204"/>
      <c r="H311" s="386"/>
      <c r="I311" s="386"/>
      <c r="J311" s="386"/>
      <c r="K311" s="386"/>
    </row>
    <row r="312" spans="1:11" ht="12" thickBot="1" x14ac:dyDescent="0.25">
      <c r="A312" s="252" t="s">
        <v>962</v>
      </c>
      <c r="B312" s="266"/>
      <c r="C312" s="253">
        <f t="shared" ref="C312:D312" si="114">SUM(C292:C311)</f>
        <v>88400</v>
      </c>
      <c r="D312" s="404">
        <f t="shared" si="114"/>
        <v>7366.6666666666661</v>
      </c>
      <c r="E312" s="404">
        <f>SUM(E292:E311)</f>
        <v>85213.79</v>
      </c>
      <c r="F312" s="398">
        <f t="shared" ref="F312:J312" si="115">SUM(F293:F311)</f>
        <v>0.1275609399147076</v>
      </c>
      <c r="G312" s="398">
        <f t="shared" si="115"/>
        <v>0</v>
      </c>
      <c r="H312" s="398">
        <f t="shared" si="115"/>
        <v>3.8227235663617583E-2</v>
      </c>
      <c r="I312" s="398">
        <f t="shared" si="115"/>
        <v>6.4339573833346278E-2</v>
      </c>
      <c r="J312" s="398">
        <f t="shared" si="115"/>
        <v>2.0365040121496213E-2</v>
      </c>
      <c r="K312" s="398">
        <f>SUM(K293:K311)</f>
        <v>3.5232706305743398E-2</v>
      </c>
    </row>
    <row r="313" spans="1:11" x14ac:dyDescent="0.2">
      <c r="A313" s="234"/>
      <c r="B313" s="235"/>
      <c r="C313" s="232"/>
      <c r="D313" s="392"/>
      <c r="E313" s="393"/>
      <c r="F313" s="386"/>
      <c r="G313" s="204"/>
      <c r="H313" s="386"/>
      <c r="I313" s="386"/>
      <c r="J313" s="386"/>
      <c r="K313" s="386"/>
    </row>
    <row r="314" spans="1:11" x14ac:dyDescent="0.2">
      <c r="A314" s="239"/>
      <c r="B314" s="204"/>
      <c r="C314" s="232"/>
      <c r="D314" s="392"/>
      <c r="E314" s="263"/>
      <c r="F314" s="204"/>
      <c r="G314" s="204"/>
      <c r="H314" s="204"/>
      <c r="I314" s="204"/>
      <c r="J314" s="204"/>
      <c r="K314" s="204"/>
    </row>
    <row r="315" spans="1:11" x14ac:dyDescent="0.2">
      <c r="A315" s="209"/>
      <c r="B315" s="210"/>
      <c r="C315" s="245"/>
      <c r="E315" s="393"/>
      <c r="F315" s="210"/>
      <c r="G315" s="210"/>
      <c r="H315" s="210"/>
      <c r="I315" s="210"/>
      <c r="J315" s="210"/>
      <c r="K315" s="210"/>
    </row>
    <row r="316" spans="1:11" ht="12" thickBot="1" x14ac:dyDescent="0.25">
      <c r="A316" s="211"/>
      <c r="B316" s="212" t="s">
        <v>258</v>
      </c>
      <c r="C316" s="223">
        <f t="shared" ref="C316:D316" si="116">C312+C290+C278+C267+C231+C208+C188+C169</f>
        <v>693002.10596682504</v>
      </c>
      <c r="D316" s="384">
        <f t="shared" si="116"/>
        <v>57750.175497235425</v>
      </c>
      <c r="E316" s="223">
        <f>E312+E290+E278+E267+E231+E208+E188+E169</f>
        <v>794654.63</v>
      </c>
      <c r="F316" s="381">
        <f>C316/$C$316</f>
        <v>1</v>
      </c>
      <c r="H316" s="381">
        <f>C316/$C$131</f>
        <v>0.29967822194770477</v>
      </c>
      <c r="I316" s="381">
        <f>E316/$E$131</f>
        <v>0.59999373621212571</v>
      </c>
      <c r="J316" s="381">
        <f>C316/$C$28</f>
        <v>0.15964949878162624</v>
      </c>
      <c r="K316" s="381">
        <f>E316/$E$28</f>
        <v>0.32855988676585313</v>
      </c>
    </row>
    <row r="317" spans="1:11" ht="12" thickTop="1" x14ac:dyDescent="0.2">
      <c r="C317" s="245"/>
      <c r="E317" s="224"/>
      <c r="F317" s="231"/>
      <c r="G317" s="221"/>
      <c r="H317" s="221"/>
      <c r="I317" s="221"/>
      <c r="J317" s="221"/>
      <c r="K317" s="221"/>
    </row>
    <row r="318" spans="1:11" x14ac:dyDescent="0.2">
      <c r="C318" s="245"/>
      <c r="E318" s="216"/>
    </row>
    <row r="319" spans="1:11" s="193" customFormat="1" ht="12" thickBot="1" x14ac:dyDescent="0.25">
      <c r="A319" s="258"/>
      <c r="B319" s="222" t="s">
        <v>257</v>
      </c>
      <c r="C319" s="223">
        <f t="shared" ref="C319:D319" si="117">C316+C159+C152</f>
        <v>1333636.2810245173</v>
      </c>
      <c r="D319" s="384">
        <f t="shared" si="117"/>
        <v>111136.35675204311</v>
      </c>
      <c r="E319" s="254">
        <f>E316+E159+E152</f>
        <v>1242495.5699999998</v>
      </c>
      <c r="F319" s="412"/>
      <c r="H319" s="412">
        <f>C319/$C$131</f>
        <v>0.57671072855514416</v>
      </c>
      <c r="I319" s="412">
        <f>E319/$E$131</f>
        <v>0.9381302658128533</v>
      </c>
      <c r="J319" s="412">
        <f>C319/$C$28</f>
        <v>0.30723480057180186</v>
      </c>
      <c r="K319" s="412">
        <f>E319/$E$28</f>
        <v>0.51372531962253098</v>
      </c>
    </row>
    <row r="320" spans="1:11" x14ac:dyDescent="0.2">
      <c r="A320" s="220"/>
      <c r="B320" s="221"/>
      <c r="C320" s="245"/>
      <c r="E320" s="255"/>
      <c r="F320" s="221"/>
      <c r="G320" s="221"/>
      <c r="H320" s="221"/>
      <c r="I320" s="221"/>
      <c r="J320" s="221"/>
      <c r="K320" s="221"/>
    </row>
    <row r="321" spans="1:11" x14ac:dyDescent="0.2">
      <c r="C321" s="245"/>
      <c r="E321" s="216"/>
    </row>
    <row r="322" spans="1:11" s="409" customFormat="1" ht="12" thickBot="1" x14ac:dyDescent="0.25">
      <c r="A322" s="256"/>
      <c r="B322" s="212" t="s">
        <v>198</v>
      </c>
      <c r="C322" s="846">
        <f>'Tab-20 ProfitTarget'!C23</f>
        <v>372545.22981396562</v>
      </c>
      <c r="D322" s="277">
        <f>C322/12</f>
        <v>31045.435817830468</v>
      </c>
      <c r="E322" s="223">
        <f t="shared" ref="E322" si="118">E140-E319</f>
        <v>-674196.99999999965</v>
      </c>
      <c r="F322" s="275"/>
      <c r="G322" s="275"/>
      <c r="H322" s="408">
        <f>C322/$C$131</f>
        <v>0.16110151917935558</v>
      </c>
      <c r="I322" s="408">
        <f>E322/$E$131</f>
        <v>-0.50904375523868306</v>
      </c>
      <c r="J322" s="408">
        <f>C322/$C$28</f>
        <v>8.5824644256034338E-2</v>
      </c>
      <c r="K322" s="408">
        <f>E322/$E$28</f>
        <v>-0.27875517440561287</v>
      </c>
    </row>
    <row r="323" spans="1:11" s="204" customFormat="1" x14ac:dyDescent="0.2">
      <c r="A323" s="209"/>
      <c r="B323" s="210"/>
      <c r="C323" s="232"/>
      <c r="D323" s="392"/>
      <c r="E323" s="380"/>
      <c r="F323" s="210"/>
      <c r="G323" s="210"/>
      <c r="H323" s="210"/>
      <c r="I323" s="210"/>
      <c r="J323" s="210"/>
      <c r="K323" s="210"/>
    </row>
    <row r="324" spans="1:11" ht="12" thickBot="1" x14ac:dyDescent="0.25">
      <c r="A324" s="211"/>
      <c r="B324" s="212" t="s">
        <v>256</v>
      </c>
      <c r="C324" s="382"/>
      <c r="D324" s="377"/>
      <c r="E324" s="383"/>
      <c r="F324" s="379"/>
      <c r="G324" s="379"/>
      <c r="H324" s="379"/>
      <c r="I324" s="379"/>
      <c r="J324" s="379"/>
      <c r="K324" s="379"/>
    </row>
    <row r="325" spans="1:11" ht="12" thickBot="1" x14ac:dyDescent="0.25">
      <c r="A325" s="269" t="s">
        <v>255</v>
      </c>
      <c r="B325" s="270" t="s">
        <v>254</v>
      </c>
      <c r="C325" s="846">
        <f>Other_miscellaneous_income</f>
        <v>165</v>
      </c>
      <c r="D325" s="374">
        <f>C325/12</f>
        <v>13.75</v>
      </c>
      <c r="E325" s="748">
        <v>0</v>
      </c>
      <c r="H325" s="381">
        <f>C325/$C$131</f>
        <v>7.1351740774851821E-5</v>
      </c>
      <c r="I325" s="381">
        <f>E325/$E$131</f>
        <v>0</v>
      </c>
      <c r="J325" s="381">
        <f>C325/$C$28</f>
        <v>3.8011669910032516E-5</v>
      </c>
      <c r="K325" s="381">
        <f>E325/$E$28</f>
        <v>0</v>
      </c>
    </row>
    <row r="326" spans="1:11" ht="12.75" thickTop="1" thickBot="1" x14ac:dyDescent="0.25">
      <c r="A326" s="269" t="s">
        <v>253</v>
      </c>
      <c r="B326" s="270" t="s">
        <v>252</v>
      </c>
      <c r="C326" s="846">
        <f>Sale_of_assets_gain_or__loss</f>
        <v>0</v>
      </c>
      <c r="D326" s="374">
        <f>C326/12</f>
        <v>0</v>
      </c>
      <c r="E326" s="748">
        <v>0</v>
      </c>
      <c r="H326" s="381">
        <f>C326/$C$131</f>
        <v>0</v>
      </c>
      <c r="I326" s="381">
        <f>E326/$E$131</f>
        <v>0</v>
      </c>
      <c r="J326" s="381">
        <f>C326/$C$28</f>
        <v>0</v>
      </c>
      <c r="K326" s="381">
        <f>E326/$E$28</f>
        <v>0</v>
      </c>
    </row>
    <row r="327" spans="1:11" ht="12.75" thickTop="1" thickBot="1" x14ac:dyDescent="0.25">
      <c r="A327" s="269" t="s">
        <v>251</v>
      </c>
      <c r="B327" s="270" t="s">
        <v>250</v>
      </c>
      <c r="C327" s="846">
        <f>Recovery_of_bad_debt_write_off</f>
        <v>0</v>
      </c>
      <c r="D327" s="374">
        <f>C327/12</f>
        <v>0</v>
      </c>
      <c r="E327" s="748">
        <v>9999</v>
      </c>
      <c r="H327" s="381">
        <f>C327/$C$131</f>
        <v>0</v>
      </c>
      <c r="I327" s="381">
        <f>E327/$E$131</f>
        <v>7.5496160745770081E-3</v>
      </c>
      <c r="J327" s="381">
        <f>C327/$C$28</f>
        <v>0</v>
      </c>
      <c r="K327" s="381">
        <f>E327/$E$28</f>
        <v>4.1342114973542217E-3</v>
      </c>
    </row>
    <row r="328" spans="1:11" ht="12.75" thickTop="1" thickBot="1" x14ac:dyDescent="0.25">
      <c r="A328" s="269" t="s">
        <v>249</v>
      </c>
      <c r="B328" s="270" t="s">
        <v>248</v>
      </c>
      <c r="C328" s="846">
        <f>'Tab-20 ProfitTarget'!C19</f>
        <v>0</v>
      </c>
      <c r="D328" s="377">
        <f>C328/12</f>
        <v>0</v>
      </c>
      <c r="E328" s="842">
        <v>-60083.93</v>
      </c>
      <c r="H328" s="381">
        <f>C328/$C$131</f>
        <v>0</v>
      </c>
      <c r="I328" s="381">
        <f>E328/$E$131</f>
        <v>-4.5365596934869461E-2</v>
      </c>
      <c r="J328" s="381">
        <f>C328/$C$28</f>
        <v>0</v>
      </c>
      <c r="K328" s="381">
        <f>E328/$E$28</f>
        <v>-2.4842451666389265E-2</v>
      </c>
    </row>
    <row r="329" spans="1:11" ht="12" thickTop="1" x14ac:dyDescent="0.2">
      <c r="A329" s="220"/>
      <c r="B329" s="221"/>
      <c r="C329" s="245"/>
      <c r="E329" s="216"/>
      <c r="F329" s="221"/>
      <c r="G329" s="221"/>
      <c r="H329" s="221"/>
      <c r="I329" s="221"/>
      <c r="J329" s="221"/>
      <c r="K329" s="221"/>
    </row>
    <row r="330" spans="1:11" ht="12" thickBot="1" x14ac:dyDescent="0.25">
      <c r="A330" s="211"/>
      <c r="B330" s="212" t="s">
        <v>247</v>
      </c>
      <c r="C330" s="382">
        <f>SUM(C324:C329)</f>
        <v>165</v>
      </c>
      <c r="D330" s="377">
        <f>C330/12</f>
        <v>13.75</v>
      </c>
      <c r="E330" s="223">
        <f t="shared" ref="E330" si="119">SUM(E324:E329)</f>
        <v>-50084.93</v>
      </c>
      <c r="F330" s="213"/>
      <c r="G330" s="213"/>
      <c r="H330" s="385">
        <f>C330/$C$131</f>
        <v>7.1351740774851821E-5</v>
      </c>
      <c r="I330" s="385">
        <f>E330/$E$131</f>
        <v>-3.7815980860292447E-2</v>
      </c>
      <c r="J330" s="385">
        <f>C330/$C$28</f>
        <v>3.8011669910032516E-5</v>
      </c>
      <c r="K330" s="385">
        <f>E330/$E$28</f>
        <v>-2.0708240169035042E-2</v>
      </c>
    </row>
    <row r="331" spans="1:11" x14ac:dyDescent="0.2">
      <c r="C331" s="245"/>
      <c r="E331" s="380"/>
    </row>
    <row r="332" spans="1:11" ht="12" thickBot="1" x14ac:dyDescent="0.25">
      <c r="A332" s="211"/>
      <c r="B332" s="212" t="s">
        <v>246</v>
      </c>
      <c r="C332" s="382"/>
      <c r="D332" s="377"/>
      <c r="E332" s="383"/>
      <c r="F332" s="379"/>
      <c r="G332" s="379"/>
      <c r="H332" s="379"/>
      <c r="I332" s="379"/>
      <c r="J332" s="379"/>
      <c r="K332" s="379"/>
    </row>
    <row r="333" spans="1:11" x14ac:dyDescent="0.2">
      <c r="A333" s="214" t="s">
        <v>245</v>
      </c>
      <c r="B333" s="215" t="s">
        <v>244</v>
      </c>
      <c r="C333" s="245">
        <v>0</v>
      </c>
      <c r="E333" s="748">
        <v>-6612.97</v>
      </c>
      <c r="H333" s="381"/>
      <c r="I333" s="381"/>
      <c r="J333" s="381"/>
      <c r="K333" s="381"/>
    </row>
    <row r="334" spans="1:11" ht="12" thickBot="1" x14ac:dyDescent="0.25">
      <c r="A334" s="214" t="s">
        <v>243</v>
      </c>
      <c r="B334" s="215" t="s">
        <v>1103</v>
      </c>
      <c r="C334" s="846">
        <f>'Tab-21 Labor Budget'!BC38</f>
        <v>2646.1350379060968</v>
      </c>
      <c r="D334" s="374">
        <f>C334/12</f>
        <v>220.51125315884141</v>
      </c>
      <c r="E334" s="748">
        <v>0</v>
      </c>
      <c r="H334" s="381">
        <f>C334/$C$131</f>
        <v>1.1442808562419908E-3</v>
      </c>
      <c r="I334" s="381">
        <f>E334/$E$131</f>
        <v>0</v>
      </c>
      <c r="J334" s="381">
        <f>C334/$C$28</f>
        <v>6.0960007029247233E-4</v>
      </c>
      <c r="K334" s="381">
        <f>E334/$E$28</f>
        <v>0</v>
      </c>
    </row>
    <row r="335" spans="1:11" ht="12.75" thickTop="1" thickBot="1" x14ac:dyDescent="0.25">
      <c r="A335" s="214" t="s">
        <v>241</v>
      </c>
      <c r="B335" s="215" t="s">
        <v>816</v>
      </c>
      <c r="C335" s="846">
        <f>'Tab-21 Labor Budget'!BK38</f>
        <v>37408.201291730758</v>
      </c>
      <c r="D335" s="374">
        <f>C335/12</f>
        <v>3117.3501076442299</v>
      </c>
      <c r="E335" s="748">
        <v>0</v>
      </c>
      <c r="H335" s="381">
        <f>C335/$C$131</f>
        <v>1.6176607766188181E-2</v>
      </c>
      <c r="I335" s="381">
        <f>E335/$E$131</f>
        <v>0</v>
      </c>
      <c r="J335" s="381">
        <f>C335/$C$28</f>
        <v>8.6178678753292218E-3</v>
      </c>
      <c r="K335" s="381">
        <f>E335/$E$28</f>
        <v>0</v>
      </c>
    </row>
    <row r="336" spans="1:11" ht="12.75" thickTop="1" thickBot="1" x14ac:dyDescent="0.25">
      <c r="A336" s="214" t="s">
        <v>239</v>
      </c>
      <c r="B336" s="215" t="s">
        <v>1104</v>
      </c>
      <c r="C336" s="846">
        <f>'Tab-21 Labor Budget'!BJ38</f>
        <v>38530.44733048269</v>
      </c>
      <c r="D336" s="377">
        <f>C336/12</f>
        <v>3210.8706108735573</v>
      </c>
      <c r="E336" s="842">
        <v>0</v>
      </c>
      <c r="H336" s="381">
        <f>C336/$C$131</f>
        <v>1.6661905999173832E-2</v>
      </c>
      <c r="I336" s="381">
        <f>E336/$E$131</f>
        <v>0</v>
      </c>
      <c r="J336" s="381">
        <f>C336/$C$28</f>
        <v>8.8764039115891008E-3</v>
      </c>
      <c r="K336" s="381">
        <f>E336/$E$28</f>
        <v>0</v>
      </c>
    </row>
    <row r="337" spans="1:11" ht="12" thickTop="1" x14ac:dyDescent="0.2">
      <c r="A337" s="220"/>
      <c r="B337" s="221"/>
      <c r="C337" s="245"/>
      <c r="E337" s="216"/>
      <c r="F337" s="221"/>
      <c r="G337" s="221"/>
      <c r="H337" s="221"/>
      <c r="I337" s="221"/>
      <c r="J337" s="221"/>
      <c r="K337" s="221"/>
    </row>
    <row r="338" spans="1:11" ht="12" thickBot="1" x14ac:dyDescent="0.25">
      <c r="A338" s="211"/>
      <c r="B338" s="212" t="s">
        <v>237</v>
      </c>
      <c r="C338" s="382">
        <f>SUM(C332:C337)</f>
        <v>78584.783660119545</v>
      </c>
      <c r="D338" s="377">
        <f>C338/12</f>
        <v>6548.7319716766287</v>
      </c>
      <c r="E338" s="223">
        <f t="shared" ref="E338" si="120">SUM(E332:E337)</f>
        <v>-6612.97</v>
      </c>
      <c r="F338" s="213"/>
      <c r="G338" s="213"/>
      <c r="H338" s="385">
        <f>C338/$C$131</f>
        <v>3.3982794621604001E-2</v>
      </c>
      <c r="I338" s="385">
        <f>E338/$E$131</f>
        <v>-4.9930377650460565E-3</v>
      </c>
      <c r="J338" s="385">
        <f>C338/$C$28</f>
        <v>1.8103871857210792E-2</v>
      </c>
      <c r="K338" s="385">
        <f>E338/$E$28</f>
        <v>-2.7342150820740623E-3</v>
      </c>
    </row>
    <row r="339" spans="1:11" x14ac:dyDescent="0.2">
      <c r="C339" s="245"/>
      <c r="E339" s="216"/>
    </row>
    <row r="340" spans="1:11" x14ac:dyDescent="0.2">
      <c r="B340" s="222" t="s">
        <v>236</v>
      </c>
      <c r="C340" s="245">
        <f>C342+C344</f>
        <v>294125.4461538461</v>
      </c>
      <c r="D340" s="374">
        <f>C340/12</f>
        <v>24510.453846153843</v>
      </c>
      <c r="E340" s="254">
        <f t="shared" ref="E340" si="121">E322-E330-E338</f>
        <v>-617499.09999999963</v>
      </c>
      <c r="H340" s="381">
        <f>C340/$C$131</f>
        <v>0.12719007629852644</v>
      </c>
      <c r="I340" s="381">
        <f>E340/$E$131</f>
        <v>-0.46623473661334458</v>
      </c>
      <c r="J340" s="381">
        <f>C340/$C$28</f>
        <v>6.7758784068733577E-2</v>
      </c>
      <c r="K340" s="381">
        <f>E340/$E$28</f>
        <v>-0.25531271915450376</v>
      </c>
    </row>
    <row r="341" spans="1:11" x14ac:dyDescent="0.2">
      <c r="C341" s="245"/>
      <c r="E341" s="216"/>
    </row>
    <row r="342" spans="1:11" ht="12" thickBot="1" x14ac:dyDescent="0.25">
      <c r="A342" s="214" t="s">
        <v>235</v>
      </c>
      <c r="B342" s="215" t="s">
        <v>999</v>
      </c>
      <c r="C342" s="846">
        <f>'Tab-20 ProfitTarget'!C10</f>
        <v>105845.44615384613</v>
      </c>
      <c r="D342" s="377">
        <f>C342/12</f>
        <v>8820.453846153845</v>
      </c>
      <c r="E342" s="842">
        <v>-210854</v>
      </c>
      <c r="H342" s="381">
        <f>C342/$C$131</f>
        <v>4.5771253552531914E-2</v>
      </c>
      <c r="I342" s="381">
        <f>E342/$E$131</f>
        <v>-0.15920259503838988</v>
      </c>
      <c r="J342" s="381">
        <f>C342/$C$28</f>
        <v>2.4384013095031031E-2</v>
      </c>
      <c r="K342" s="381">
        <f>E342/$E$28</f>
        <v>-8.718022112842555E-2</v>
      </c>
    </row>
    <row r="343" spans="1:11" ht="12" thickTop="1" x14ac:dyDescent="0.2">
      <c r="A343" s="220"/>
      <c r="B343" s="221"/>
      <c r="C343" s="245"/>
      <c r="E343" s="217"/>
      <c r="F343" s="221"/>
      <c r="G343" s="221"/>
      <c r="H343" s="221"/>
      <c r="I343" s="221"/>
      <c r="J343" s="221"/>
      <c r="K343" s="221"/>
    </row>
    <row r="344" spans="1:11" ht="12" thickBot="1" x14ac:dyDescent="0.25">
      <c r="A344" s="228"/>
      <c r="B344" s="229" t="s">
        <v>233</v>
      </c>
      <c r="C344" s="846">
        <f>Principals__return_on_investment+Increase_in_net_worth</f>
        <v>188280</v>
      </c>
      <c r="D344" s="388">
        <f>C344/12</f>
        <v>15690</v>
      </c>
      <c r="E344" s="230">
        <f t="shared" ref="E344" si="122">E340-E342</f>
        <v>-406645.09999999963</v>
      </c>
      <c r="F344" s="287"/>
      <c r="G344" s="287"/>
      <c r="H344" s="390">
        <f>C344/$C$131</f>
        <v>8.1418822745994546E-2</v>
      </c>
      <c r="I344" s="390">
        <f>E344/$E$131</f>
        <v>-0.30703214157495468</v>
      </c>
      <c r="J344" s="390">
        <f>C344/$C$28</f>
        <v>4.3374770973702556E-2</v>
      </c>
      <c r="K344" s="390">
        <f>E344/$E$28</f>
        <v>-0.16813249802607819</v>
      </c>
    </row>
    <row r="345" spans="1:11" ht="12" thickTop="1" x14ac:dyDescent="0.2">
      <c r="A345" s="239"/>
      <c r="B345" s="204"/>
      <c r="C345" s="232"/>
      <c r="D345" s="392"/>
      <c r="E345" s="216"/>
      <c r="F345" s="204"/>
      <c r="G345" s="204"/>
      <c r="H345" s="204"/>
      <c r="I345" s="204"/>
      <c r="J345" s="204"/>
      <c r="K345" s="204"/>
    </row>
    <row r="346" spans="1:11" ht="12" thickBot="1" x14ac:dyDescent="0.25">
      <c r="A346" s="271"/>
      <c r="B346" s="215" t="s">
        <v>1105</v>
      </c>
      <c r="C346" s="846">
        <f>[0]!Principals__return_on_investment</f>
        <v>0</v>
      </c>
      <c r="D346" s="377">
        <f>C346/12</f>
        <v>0</v>
      </c>
      <c r="E346" s="842">
        <v>0</v>
      </c>
      <c r="H346" s="381">
        <f>C346/$C$131</f>
        <v>0</v>
      </c>
      <c r="I346" s="381">
        <f>E346/$E$131</f>
        <v>0</v>
      </c>
      <c r="J346" s="381">
        <f>C346/$C$28</f>
        <v>0</v>
      </c>
      <c r="K346" s="381">
        <f>E346/$E$28</f>
        <v>0</v>
      </c>
    </row>
    <row r="347" spans="1:11" ht="12" thickTop="1" x14ac:dyDescent="0.2">
      <c r="A347" s="220"/>
      <c r="B347" s="221"/>
      <c r="C347" s="245"/>
      <c r="E347" s="216"/>
      <c r="F347" s="221"/>
      <c r="G347" s="221"/>
      <c r="H347" s="221"/>
      <c r="I347" s="221"/>
      <c r="J347" s="221"/>
      <c r="K347" s="221"/>
    </row>
    <row r="348" spans="1:11" s="193" customFormat="1" ht="12" thickBot="1" x14ac:dyDescent="0.25">
      <c r="A348" s="272"/>
      <c r="B348" s="229" t="s">
        <v>963</v>
      </c>
      <c r="C348" s="846">
        <f>Increase_in_net_worth</f>
        <v>188280</v>
      </c>
      <c r="D348" s="416">
        <f>C348/12</f>
        <v>15690</v>
      </c>
      <c r="E348" s="273">
        <f t="shared" ref="E348" si="123">E344-E346</f>
        <v>-406645.09999999963</v>
      </c>
      <c r="F348" s="322"/>
      <c r="G348" s="322"/>
      <c r="H348" s="417">
        <f>C348/$C$131</f>
        <v>8.1418822745994546E-2</v>
      </c>
      <c r="I348" s="417">
        <f>E348/$E$131</f>
        <v>-0.30703214157495468</v>
      </c>
      <c r="J348" s="417">
        <f>C348/$C$28</f>
        <v>4.3374770973702556E-2</v>
      </c>
      <c r="K348" s="417">
        <f>E348/$E$28</f>
        <v>-0.16813249802607819</v>
      </c>
    </row>
    <row r="349" spans="1:11" ht="12" thickTop="1" x14ac:dyDescent="0.2">
      <c r="A349" s="220"/>
      <c r="B349" s="221"/>
      <c r="E349" s="418"/>
      <c r="F349" s="221"/>
      <c r="G349" s="221"/>
      <c r="H349" s="221"/>
      <c r="I349" s="221"/>
      <c r="J349" s="221"/>
      <c r="K349" s="221"/>
    </row>
    <row r="350" spans="1:11" x14ac:dyDescent="0.2">
      <c r="C350" s="246" t="s">
        <v>230</v>
      </c>
      <c r="E350" s="370"/>
    </row>
    <row r="351" spans="1:11" x14ac:dyDescent="0.2">
      <c r="A351" s="271"/>
      <c r="E351" s="370"/>
    </row>
    <row r="352" spans="1:11" x14ac:dyDescent="0.2">
      <c r="A352" s="271"/>
      <c r="E352" s="370"/>
    </row>
    <row r="353" spans="1:5" x14ac:dyDescent="0.2">
      <c r="A353" s="271"/>
      <c r="E353" s="370"/>
    </row>
    <row r="354" spans="1:5" x14ac:dyDescent="0.2">
      <c r="A354" s="271"/>
      <c r="E354" s="370"/>
    </row>
    <row r="355" spans="1:5" x14ac:dyDescent="0.2">
      <c r="A355" s="271"/>
      <c r="E355" s="370"/>
    </row>
    <row r="356" spans="1:5" x14ac:dyDescent="0.2">
      <c r="A356" s="271"/>
      <c r="B356" s="296"/>
      <c r="E356" s="370"/>
    </row>
    <row r="357" spans="1:5" x14ac:dyDescent="0.2">
      <c r="E357" s="370"/>
    </row>
    <row r="358" spans="1:5" x14ac:dyDescent="0.2">
      <c r="E358" s="370"/>
    </row>
    <row r="359" spans="1:5" x14ac:dyDescent="0.2">
      <c r="E359" s="370"/>
    </row>
    <row r="360" spans="1:5" x14ac:dyDescent="0.2">
      <c r="E360" s="370"/>
    </row>
    <row r="361" spans="1:5" x14ac:dyDescent="0.2">
      <c r="E361" s="370"/>
    </row>
    <row r="362" spans="1:5" x14ac:dyDescent="0.2">
      <c r="E362" s="370"/>
    </row>
    <row r="363" spans="1:5" x14ac:dyDescent="0.2">
      <c r="E363" s="370"/>
    </row>
    <row r="364" spans="1:5" x14ac:dyDescent="0.2">
      <c r="E364" s="370"/>
    </row>
    <row r="365" spans="1:5" x14ac:dyDescent="0.2">
      <c r="E365" s="370"/>
    </row>
    <row r="366" spans="1:5" x14ac:dyDescent="0.2">
      <c r="E366" s="370"/>
    </row>
  </sheetData>
  <printOptions horizontalCentered="1" verticalCentered="1" headings="1"/>
  <pageMargins left="0.7" right="0.7" top="0.75" bottom="0.75" header="0.3" footer="0.3"/>
  <pageSetup scale="79" fitToHeight="0" orientation="portrait" blackAndWhite="1" horizontalDpi="300" verticalDpi="300" r:id="rId1"/>
  <headerFooter>
    <oddHeader>&amp;L&amp;D
&amp;T&amp;C&amp;"Times New Roman,Italic"CAPP * Computer Aided Profit Plan
For Design Firm Financial Contorl
Profit Plan</oddHeader>
    <oddFooter>&amp;L&amp;A&amp;R&amp;P</oddFooter>
  </headerFooter>
  <rowBreaks count="7" manualBreakCount="7">
    <brk id="59" max="10" man="1"/>
    <brk id="98" max="10" man="1"/>
    <brk id="141" max="10" man="1"/>
    <brk id="189" max="10" man="1"/>
    <brk id="232" max="10" man="1"/>
    <brk id="279" max="10" man="1"/>
    <brk id="323" max="10" man="1"/>
  </rowBreaks>
  <ignoredErrors>
    <ignoredError sqref="D7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4:L54"/>
  <sheetViews>
    <sheetView topLeftCell="A16" zoomScaleNormal="100" workbookViewId="0">
      <selection activeCell="G34" sqref="G34"/>
    </sheetView>
  </sheetViews>
  <sheetFormatPr defaultRowHeight="12.75" x14ac:dyDescent="0.2"/>
  <cols>
    <col min="1" max="1" width="25.75" style="2" customWidth="1"/>
    <col min="2" max="2" width="10.875" style="2" customWidth="1"/>
    <col min="3" max="3" width="9.25" style="2" customWidth="1"/>
    <col min="4" max="4" width="8.75" style="2" customWidth="1"/>
    <col min="5" max="5" width="7.75" style="2" customWidth="1"/>
    <col min="6" max="6" width="6.75" style="2" customWidth="1"/>
    <col min="7" max="8" width="8.625" style="2" customWidth="1"/>
    <col min="9" max="10" width="9.5" style="2" customWidth="1"/>
    <col min="11" max="16384" width="9" style="2"/>
  </cols>
  <sheetData>
    <row r="4" spans="1:12" x14ac:dyDescent="0.2">
      <c r="A4" s="14"/>
      <c r="B4" s="181"/>
      <c r="C4" s="181"/>
      <c r="D4" s="180" t="s">
        <v>217</v>
      </c>
      <c r="E4" s="180" t="s">
        <v>220</v>
      </c>
      <c r="F4" s="180" t="s">
        <v>220</v>
      </c>
      <c r="G4" s="180" t="s">
        <v>219</v>
      </c>
      <c r="H4" s="180" t="s">
        <v>218</v>
      </c>
      <c r="I4" s="472" t="s">
        <v>217</v>
      </c>
      <c r="J4" s="472" t="s">
        <v>217</v>
      </c>
    </row>
    <row r="5" spans="1:12" x14ac:dyDescent="0.2">
      <c r="A5" s="30"/>
      <c r="B5" s="473" t="s">
        <v>942</v>
      </c>
      <c r="C5" s="472" t="s">
        <v>216</v>
      </c>
      <c r="D5" s="180" t="s">
        <v>152</v>
      </c>
      <c r="E5" s="180" t="s">
        <v>215</v>
      </c>
      <c r="F5" s="180" t="s">
        <v>214</v>
      </c>
      <c r="G5" s="180" t="s">
        <v>213</v>
      </c>
      <c r="H5" s="180" t="s">
        <v>212</v>
      </c>
      <c r="I5" s="472" t="s">
        <v>52</v>
      </c>
      <c r="J5" s="472" t="s">
        <v>11</v>
      </c>
    </row>
    <row r="6" spans="1:12" ht="13.5" thickBot="1" x14ac:dyDescent="0.25">
      <c r="A6" s="166" t="s">
        <v>211</v>
      </c>
      <c r="B6" s="180" t="s">
        <v>185</v>
      </c>
      <c r="C6" s="180" t="s">
        <v>62</v>
      </c>
      <c r="D6" s="180" t="s">
        <v>210</v>
      </c>
      <c r="E6" s="180" t="s">
        <v>55</v>
      </c>
      <c r="F6" s="180" t="s">
        <v>209</v>
      </c>
      <c r="G6" s="180" t="s">
        <v>48</v>
      </c>
      <c r="H6" s="180" t="s">
        <v>48</v>
      </c>
      <c r="I6" s="474" t="s">
        <v>208</v>
      </c>
      <c r="J6" s="474" t="s">
        <v>208</v>
      </c>
    </row>
    <row r="7" spans="1:12" x14ac:dyDescent="0.2">
      <c r="A7" s="176"/>
      <c r="B7" s="176"/>
      <c r="C7" s="176"/>
      <c r="D7" s="176"/>
      <c r="E7" s="176"/>
      <c r="F7" s="176"/>
      <c r="G7" s="176"/>
      <c r="H7" s="176"/>
    </row>
    <row r="8" spans="1:12" x14ac:dyDescent="0.2">
      <c r="A8" s="167" t="s">
        <v>207</v>
      </c>
      <c r="B8" s="446">
        <f>+'Tab-22 ProfitPlan'!C16</f>
        <v>3225819.2655542176</v>
      </c>
      <c r="C8" s="446">
        <f t="shared" ref="C8:C18" si="0">+B8/12</f>
        <v>268818.27212951815</v>
      </c>
      <c r="D8" s="475">
        <f>+B8/[0]!Tech_direct_hrs_total</f>
        <v>142.93775547475263</v>
      </c>
      <c r="E8" s="475">
        <f t="shared" ref="E8:E17" si="1">B8/$B$16</f>
        <v>5.3204486972806562</v>
      </c>
      <c r="F8" s="475">
        <f t="shared" ref="F8:F17" si="2">+E8/$F$22</f>
        <v>4.1727373962342043</v>
      </c>
      <c r="G8" s="423">
        <f t="shared" ref="G8:G17" si="3">B8/$B$15</f>
        <v>1.3949564849839236</v>
      </c>
      <c r="H8" s="423">
        <f t="shared" ref="H8:H17" si="4">+B8/$B$11</f>
        <v>0.74314410370709361</v>
      </c>
    </row>
    <row r="9" spans="1:12" x14ac:dyDescent="0.2">
      <c r="A9" s="167" t="s">
        <v>206</v>
      </c>
      <c r="B9" s="446">
        <f>+'Tab-22 ProfitPlan'!C23</f>
        <v>1114952.9338921194</v>
      </c>
      <c r="C9" s="446">
        <f t="shared" si="0"/>
        <v>92912.744491009958</v>
      </c>
      <c r="D9" s="475">
        <f>+B9/[0]!Tech_direct_hrs_total</f>
        <v>49.404153398268321</v>
      </c>
      <c r="E9" s="475">
        <f t="shared" si="1"/>
        <v>1.8389281594287974</v>
      </c>
      <c r="F9" s="475">
        <f t="shared" si="2"/>
        <v>1.4422400696690534</v>
      </c>
      <c r="G9" s="423">
        <f t="shared" si="3"/>
        <v>0.4821444406983697</v>
      </c>
      <c r="H9" s="423">
        <f t="shared" si="4"/>
        <v>0.25685589629290634</v>
      </c>
      <c r="I9" s="14"/>
      <c r="J9" s="14"/>
    </row>
    <row r="10" spans="1:12" s="14" customFormat="1" ht="13.5" thickBot="1" x14ac:dyDescent="0.25">
      <c r="A10" s="178" t="s">
        <v>205</v>
      </c>
      <c r="B10" s="449">
        <f>+'Tab-22 ProfitPlan'!C26</f>
        <v>0</v>
      </c>
      <c r="C10" s="449">
        <f t="shared" si="0"/>
        <v>0</v>
      </c>
      <c r="D10" s="476">
        <f>+B10/[0]!Tech_direct_hrs_total</f>
        <v>0</v>
      </c>
      <c r="E10" s="476">
        <f t="shared" si="1"/>
        <v>0</v>
      </c>
      <c r="F10" s="476">
        <f t="shared" si="2"/>
        <v>0</v>
      </c>
      <c r="G10" s="477">
        <f t="shared" si="3"/>
        <v>0</v>
      </c>
      <c r="H10" s="477">
        <f t="shared" si="4"/>
        <v>0</v>
      </c>
      <c r="I10" s="72"/>
      <c r="J10" s="72"/>
    </row>
    <row r="11" spans="1:12" s="14" customFormat="1" x14ac:dyDescent="0.2">
      <c r="A11" s="164" t="s">
        <v>204</v>
      </c>
      <c r="B11" s="478">
        <f>+'Tab-22 ProfitPlan'!C28</f>
        <v>4340772.1994463373</v>
      </c>
      <c r="C11" s="479">
        <f t="shared" si="0"/>
        <v>361731.01662052813</v>
      </c>
      <c r="D11" s="480">
        <f>+B11/[0]!Tech_direct_hrs_total</f>
        <v>192.34190887302097</v>
      </c>
      <c r="E11" s="480">
        <f t="shared" si="1"/>
        <v>7.1593768567094545</v>
      </c>
      <c r="F11" s="480">
        <f t="shared" si="2"/>
        <v>5.6149774659032587</v>
      </c>
      <c r="G11" s="481">
        <f t="shared" si="3"/>
        <v>1.8771009256822935</v>
      </c>
      <c r="H11" s="481">
        <f t="shared" si="4"/>
        <v>1</v>
      </c>
      <c r="I11" s="3">
        <f>+B11/[0]!FTE_Total_technical_and_nontechnical</f>
        <v>232954.18194488742</v>
      </c>
      <c r="J11" s="3">
        <f>+B11/[0]!FTE_Total_Technical</f>
        <v>299600.18868675985</v>
      </c>
    </row>
    <row r="12" spans="1:12" s="14" customFormat="1" ht="13.5" thickBot="1" x14ac:dyDescent="0.25">
      <c r="A12" s="178" t="s">
        <v>203</v>
      </c>
      <c r="B12" s="449">
        <f>+'Tab-22 ProfitPlan'!C76</f>
        <v>1114952.9338921194</v>
      </c>
      <c r="C12" s="449">
        <f t="shared" si="0"/>
        <v>92912.744491009958</v>
      </c>
      <c r="D12" s="476">
        <f>+B12/[0]!Tech_direct_hrs_total</f>
        <v>49.404153398268321</v>
      </c>
      <c r="E12" s="476">
        <f t="shared" si="1"/>
        <v>1.8389281594287974</v>
      </c>
      <c r="F12" s="476">
        <f t="shared" si="2"/>
        <v>1.4422400696690534</v>
      </c>
      <c r="G12" s="477">
        <f t="shared" si="3"/>
        <v>0.4821444406983697</v>
      </c>
      <c r="H12" s="477">
        <f t="shared" si="4"/>
        <v>0.25685589629290634</v>
      </c>
      <c r="I12" s="452"/>
      <c r="J12" s="452"/>
    </row>
    <row r="13" spans="1:12" s="14" customFormat="1" x14ac:dyDescent="0.2">
      <c r="A13" s="164" t="s">
        <v>202</v>
      </c>
      <c r="B13" s="479">
        <f>+'Tab-22 ProfitPlan'!C78</f>
        <v>3225819.2655542176</v>
      </c>
      <c r="C13" s="479">
        <f t="shared" si="0"/>
        <v>268818.27212951815</v>
      </c>
      <c r="D13" s="480">
        <f>+B13/[0]!Tech_direct_hrs_total</f>
        <v>142.93775547475263</v>
      </c>
      <c r="E13" s="480">
        <f t="shared" si="1"/>
        <v>5.3204486972806562</v>
      </c>
      <c r="F13" s="480">
        <f t="shared" si="2"/>
        <v>4.1727373962342043</v>
      </c>
      <c r="G13" s="481">
        <f t="shared" si="3"/>
        <v>1.3949564849839236</v>
      </c>
      <c r="H13" s="481">
        <f t="shared" si="4"/>
        <v>0.74314410370709361</v>
      </c>
      <c r="I13" s="3"/>
      <c r="J13" s="3"/>
    </row>
    <row r="14" spans="1:12" s="14" customFormat="1" ht="13.5" thickBot="1" x14ac:dyDescent="0.25">
      <c r="A14" s="178" t="s">
        <v>201</v>
      </c>
      <c r="B14" s="449">
        <f>+'Tab-22 ProfitPlan'!C128</f>
        <v>913331.88671573461</v>
      </c>
      <c r="C14" s="449">
        <f t="shared" si="0"/>
        <v>76110.990559644546</v>
      </c>
      <c r="D14" s="476">
        <f>+B14/[0]!Tech_direct_hrs_total</f>
        <v>40.470218305376399</v>
      </c>
      <c r="E14" s="476">
        <f t="shared" si="1"/>
        <v>1.5063880046691789</v>
      </c>
      <c r="F14" s="476">
        <f t="shared" si="2"/>
        <v>1.181434483812321</v>
      </c>
      <c r="G14" s="477">
        <f t="shared" si="3"/>
        <v>0.39495648498392377</v>
      </c>
      <c r="H14" s="477">
        <f t="shared" si="4"/>
        <v>0.21040769815845889</v>
      </c>
      <c r="I14" s="452"/>
      <c r="J14" s="452"/>
    </row>
    <row r="15" spans="1:12" s="14" customFormat="1" ht="13.5" thickBot="1" x14ac:dyDescent="0.25">
      <c r="A15" s="178" t="s">
        <v>188</v>
      </c>
      <c r="B15" s="449">
        <f>+'Tab-22 ProfitPlan'!C131</f>
        <v>2312487.3788384832</v>
      </c>
      <c r="C15" s="449">
        <f t="shared" si="0"/>
        <v>192707.28156987359</v>
      </c>
      <c r="D15" s="482">
        <f>+B15/[0]!Tech_direct_hrs_total</f>
        <v>102.46753716937626</v>
      </c>
      <c r="E15" s="482">
        <f t="shared" si="1"/>
        <v>3.8140606926114775</v>
      </c>
      <c r="F15" s="482">
        <f t="shared" si="2"/>
        <v>2.9913029124218835</v>
      </c>
      <c r="G15" s="477">
        <f t="shared" si="3"/>
        <v>1</v>
      </c>
      <c r="H15" s="477">
        <f t="shared" si="4"/>
        <v>0.53273640554863477</v>
      </c>
      <c r="I15" s="452">
        <f>+Net_revenue_plan/[0]!FTE_Total_technical_and_nontechnical</f>
        <v>124103.17354684198</v>
      </c>
      <c r="J15" s="452">
        <f>+Net_revenue_plan/[0]!FTE_Total_Technical</f>
        <v>159607.92762267718</v>
      </c>
    </row>
    <row r="16" spans="1:12" s="14" customFormat="1" x14ac:dyDescent="0.2">
      <c r="A16" s="164" t="s">
        <v>49</v>
      </c>
      <c r="B16" s="479">
        <f>+'Tab-22 ProfitPlan'!C137</f>
        <v>606305.86800000002</v>
      </c>
      <c r="C16" s="479">
        <f t="shared" si="0"/>
        <v>50525.489000000001</v>
      </c>
      <c r="D16" s="483">
        <f>+B16/[0]!Tech_direct_hrs_total</f>
        <v>26.865733250620348</v>
      </c>
      <c r="E16" s="480">
        <f t="shared" si="1"/>
        <v>1</v>
      </c>
      <c r="F16" s="480">
        <f t="shared" si="2"/>
        <v>0.78428298695313792</v>
      </c>
      <c r="G16" s="481">
        <f t="shared" si="3"/>
        <v>0.26218775226550012</v>
      </c>
      <c r="H16" s="481">
        <f t="shared" si="4"/>
        <v>0.13967696072079847</v>
      </c>
      <c r="I16" s="3"/>
      <c r="J16" s="3"/>
      <c r="L16" s="484"/>
    </row>
    <row r="17" spans="1:12" s="14" customFormat="1" ht="13.5" thickBot="1" x14ac:dyDescent="0.25">
      <c r="A17" s="178" t="s">
        <v>200</v>
      </c>
      <c r="B17" s="449">
        <f>+'Tab-22 ProfitPlan'!C319</f>
        <v>1333636.2810245173</v>
      </c>
      <c r="C17" s="449">
        <f t="shared" si="0"/>
        <v>111136.35675204311</v>
      </c>
      <c r="D17" s="476">
        <f>+B17/[0]!Tech_direct_hrs_total</f>
        <v>59.09412801420229</v>
      </c>
      <c r="E17" s="485">
        <f t="shared" si="1"/>
        <v>2.1996097207895029</v>
      </c>
      <c r="F17" s="476">
        <f t="shared" si="2"/>
        <v>1.7251164819519489</v>
      </c>
      <c r="G17" s="477">
        <f t="shared" si="3"/>
        <v>0.57671072855514416</v>
      </c>
      <c r="H17" s="477">
        <f t="shared" si="4"/>
        <v>0.30723480057180186</v>
      </c>
      <c r="I17" s="452"/>
      <c r="J17" s="452"/>
      <c r="L17" s="484"/>
    </row>
    <row r="18" spans="1:12" s="14" customFormat="1" ht="13.5" thickBot="1" x14ac:dyDescent="0.25">
      <c r="A18" s="178" t="s">
        <v>199</v>
      </c>
      <c r="B18" s="449">
        <f>B16+B17</f>
        <v>1939942.1490245173</v>
      </c>
      <c r="C18" s="449">
        <f t="shared" si="0"/>
        <v>161661.8457520431</v>
      </c>
      <c r="D18" s="476">
        <f>+B18/[0]!Tech_direct_hrs_total</f>
        <v>85.959861264822635</v>
      </c>
      <c r="E18" s="476">
        <f>E16+E17</f>
        <v>3.1996097207895029</v>
      </c>
      <c r="F18" s="476">
        <f>F16+F17</f>
        <v>2.5093994689050869</v>
      </c>
      <c r="G18" s="486">
        <f>G16+G17</f>
        <v>0.83889848082064433</v>
      </c>
      <c r="H18" s="486">
        <f>H16+H17</f>
        <v>0.44691176129260035</v>
      </c>
      <c r="I18" s="452"/>
      <c r="J18" s="452"/>
      <c r="L18" s="484"/>
    </row>
    <row r="19" spans="1:12" s="14" customFormat="1" x14ac:dyDescent="0.2">
      <c r="A19" s="30"/>
      <c r="B19" s="33"/>
      <c r="C19" s="33"/>
      <c r="D19" s="30"/>
      <c r="E19" s="30"/>
      <c r="F19" s="30"/>
      <c r="G19" s="30"/>
      <c r="H19" s="30"/>
      <c r="I19" s="3"/>
      <c r="J19" s="3"/>
    </row>
    <row r="20" spans="1:12" s="14" customFormat="1" ht="13.5" thickBot="1" x14ac:dyDescent="0.25">
      <c r="A20" s="421" t="s">
        <v>198</v>
      </c>
      <c r="B20" s="487">
        <f>+'Tab-22 ProfitPlan'!C322</f>
        <v>372545.22981396562</v>
      </c>
      <c r="C20" s="487">
        <f>+B20/12</f>
        <v>31045.435817830468</v>
      </c>
      <c r="D20" s="488">
        <f>+B20/[0]!Tech_direct_hrs_total</f>
        <v>16.507675904553597</v>
      </c>
      <c r="E20" s="489">
        <f>B20/$B$16</f>
        <v>0.61445097182197417</v>
      </c>
      <c r="F20" s="488">
        <f>+E20/$F$22</f>
        <v>0.48190344351679626</v>
      </c>
      <c r="G20" s="490">
        <f>B20/$B$15</f>
        <v>0.16110151917935558</v>
      </c>
      <c r="H20" s="422">
        <f>+B20/$B$11</f>
        <v>8.5824644256034338E-2</v>
      </c>
      <c r="I20" s="491">
        <f>+Operating_profit_plan/[0]!FTE_Total_technical_and_nontechnical</f>
        <v>19993.209793375459</v>
      </c>
      <c r="J20" s="491">
        <f>+Operating_profit_plan/[0]!FTE_Total_Technical</f>
        <v>25713.079613081925</v>
      </c>
    </row>
    <row r="21" spans="1:12" ht="13.5" thickTop="1" x14ac:dyDescent="0.2">
      <c r="A21" s="176"/>
      <c r="B21" s="448"/>
      <c r="C21" s="448"/>
      <c r="D21" s="30"/>
      <c r="E21" s="30"/>
      <c r="F21" s="176"/>
      <c r="G21" s="30"/>
      <c r="H21" s="30"/>
    </row>
    <row r="22" spans="1:12" x14ac:dyDescent="0.2">
      <c r="A22" s="167" t="s">
        <v>197</v>
      </c>
      <c r="B22" s="9"/>
      <c r="C22" s="9"/>
      <c r="F22" s="492">
        <f>+'Tab-26 Multiple_of_DPE'!$D$45</f>
        <v>1.2750499712927619</v>
      </c>
    </row>
    <row r="23" spans="1:12" ht="13.5" thickBot="1" x14ac:dyDescent="0.25">
      <c r="A23" s="421" t="s">
        <v>196</v>
      </c>
      <c r="B23" s="491"/>
      <c r="C23" s="491"/>
      <c r="D23" s="171"/>
      <c r="E23" s="171"/>
      <c r="F23" s="171"/>
      <c r="G23" s="171"/>
      <c r="H23" s="171"/>
      <c r="I23" s="171"/>
      <c r="J23" s="171"/>
    </row>
    <row r="24" spans="1:12" ht="13.5" thickTop="1" x14ac:dyDescent="0.2">
      <c r="B24" s="9"/>
      <c r="C24" s="9"/>
    </row>
    <row r="25" spans="1:12" ht="13.5" thickBot="1" x14ac:dyDescent="0.25">
      <c r="A25" s="493" t="s">
        <v>195</v>
      </c>
      <c r="B25" s="491"/>
      <c r="C25" s="491"/>
      <c r="D25" s="171"/>
      <c r="E25" s="171"/>
      <c r="F25" s="171"/>
      <c r="G25" s="171"/>
      <c r="H25" s="171"/>
      <c r="I25" s="494">
        <f>+[0]!FTE_Total_technical_and_nontechnical</f>
        <v>18.633587786259543</v>
      </c>
      <c r="J25" s="494">
        <f>+[0]!FTE_Total_Technical</f>
        <v>14.488549618320612</v>
      </c>
    </row>
    <row r="26" spans="1:12" ht="13.5" thickTop="1" x14ac:dyDescent="0.2">
      <c r="B26" s="9"/>
      <c r="C26" s="9"/>
    </row>
    <row r="27" spans="1:12" x14ac:dyDescent="0.2">
      <c r="B27" s="9"/>
      <c r="C27" s="9"/>
    </row>
    <row r="28" spans="1:12" ht="13.5" thickBot="1" x14ac:dyDescent="0.25">
      <c r="A28" s="168" t="s">
        <v>40</v>
      </c>
      <c r="B28" s="495" t="s">
        <v>185</v>
      </c>
      <c r="C28" s="495" t="s">
        <v>62</v>
      </c>
    </row>
    <row r="29" spans="1:12" x14ac:dyDescent="0.2">
      <c r="A29" s="176"/>
      <c r="B29" s="448"/>
      <c r="C29" s="448"/>
    </row>
    <row r="30" spans="1:12" x14ac:dyDescent="0.2">
      <c r="A30" s="167" t="s">
        <v>194</v>
      </c>
      <c r="B30" s="446">
        <f>+I15</f>
        <v>124103.17354684198</v>
      </c>
      <c r="C30" s="446">
        <f>B30/12</f>
        <v>10341.931128903498</v>
      </c>
    </row>
    <row r="31" spans="1:12" ht="13.5" thickBot="1" x14ac:dyDescent="0.25">
      <c r="A31" s="421" t="s">
        <v>193</v>
      </c>
      <c r="B31" s="487">
        <f>+J15</f>
        <v>159607.92762267718</v>
      </c>
      <c r="C31" s="487">
        <f>B31/12</f>
        <v>13300.660635223097</v>
      </c>
      <c r="D31" s="171"/>
      <c r="E31" s="171"/>
      <c r="F31" s="171"/>
      <c r="G31" s="171"/>
      <c r="H31" s="171"/>
      <c r="I31" s="171"/>
      <c r="J31" s="171"/>
    </row>
    <row r="32" spans="1:12" ht="13.5" thickTop="1" x14ac:dyDescent="0.2">
      <c r="B32" s="9"/>
      <c r="C32" s="9"/>
    </row>
    <row r="33" spans="1:10" x14ac:dyDescent="0.2">
      <c r="B33" s="9"/>
      <c r="C33" s="9"/>
    </row>
    <row r="34" spans="1:10" ht="13.5" thickBot="1" x14ac:dyDescent="0.25">
      <c r="A34" s="168" t="s">
        <v>41</v>
      </c>
      <c r="B34" s="495" t="s">
        <v>185</v>
      </c>
      <c r="C34" s="495" t="s">
        <v>62</v>
      </c>
    </row>
    <row r="35" spans="1:10" x14ac:dyDescent="0.2">
      <c r="A35" s="176"/>
      <c r="B35" s="448"/>
      <c r="C35" s="448"/>
    </row>
    <row r="36" spans="1:10" x14ac:dyDescent="0.2">
      <c r="A36" s="167" t="s">
        <v>194</v>
      </c>
      <c r="B36" s="446">
        <f>+I20</f>
        <v>19993.209793375459</v>
      </c>
      <c r="C36" s="446">
        <f>B36/12</f>
        <v>1666.1008161146217</v>
      </c>
    </row>
    <row r="37" spans="1:10" ht="13.5" thickBot="1" x14ac:dyDescent="0.25">
      <c r="A37" s="421" t="s">
        <v>193</v>
      </c>
      <c r="B37" s="487">
        <f>+J20</f>
        <v>25713.079613081925</v>
      </c>
      <c r="C37" s="487">
        <f>B37/12</f>
        <v>2142.7566344234938</v>
      </c>
      <c r="D37" s="171"/>
      <c r="E37" s="171"/>
      <c r="F37" s="171"/>
      <c r="G37" s="171"/>
      <c r="H37" s="171"/>
      <c r="I37" s="171"/>
      <c r="J37" s="171"/>
    </row>
    <row r="38" spans="1:10" ht="13.5" thickTop="1" x14ac:dyDescent="0.2"/>
    <row r="39" spans="1:10" x14ac:dyDescent="0.2">
      <c r="A39" s="419"/>
      <c r="D39" s="496"/>
      <c r="E39" s="496"/>
      <c r="F39" s="496"/>
    </row>
    <row r="40" spans="1:10" ht="13.5" thickBot="1" x14ac:dyDescent="0.25">
      <c r="A40" s="443" t="s">
        <v>192</v>
      </c>
      <c r="B40" s="497">
        <f>B41*B42</f>
        <v>1.8545297279634254</v>
      </c>
      <c r="C40" s="178" t="s">
        <v>191</v>
      </c>
      <c r="D40" s="498"/>
      <c r="E40" s="450"/>
      <c r="F40" s="498"/>
      <c r="G40" s="72"/>
      <c r="H40" s="72"/>
      <c r="I40" s="72"/>
      <c r="J40" s="72"/>
    </row>
    <row r="41" spans="1:10" x14ac:dyDescent="0.2">
      <c r="A41" s="167" t="s">
        <v>176</v>
      </c>
      <c r="B41" s="499">
        <f>Net_multiplier_plan</f>
        <v>3.8140606926114775</v>
      </c>
      <c r="C41" s="419"/>
      <c r="D41" s="496"/>
      <c r="E41" s="419"/>
      <c r="F41" s="496"/>
    </row>
    <row r="42" spans="1:10" ht="13.5" thickBot="1" x14ac:dyDescent="0.25">
      <c r="A42" s="421" t="s">
        <v>190</v>
      </c>
      <c r="B42" s="422">
        <f>+[0]!Utilization_rate_firmwide_dollars_plan</f>
        <v>0.48623498088427997</v>
      </c>
      <c r="C42" s="455"/>
      <c r="D42" s="500"/>
      <c r="E42" s="455"/>
      <c r="F42" s="500"/>
      <c r="G42" s="171"/>
      <c r="H42" s="171"/>
      <c r="I42" s="171"/>
      <c r="J42" s="171"/>
    </row>
    <row r="43" spans="1:10" ht="13.5" thickTop="1" x14ac:dyDescent="0.2">
      <c r="A43" s="30"/>
      <c r="B43" s="496"/>
      <c r="C43" s="30"/>
      <c r="D43" s="496"/>
      <c r="E43" s="419"/>
      <c r="F43" s="496"/>
    </row>
    <row r="44" spans="1:10" x14ac:dyDescent="0.2">
      <c r="A44" s="30"/>
      <c r="B44" s="496"/>
      <c r="C44" s="30"/>
      <c r="D44" s="496"/>
      <c r="E44" s="419"/>
      <c r="F44" s="496"/>
    </row>
    <row r="45" spans="1:10" s="504" customFormat="1" ht="13.5" thickBot="1" x14ac:dyDescent="0.25">
      <c r="A45" s="443" t="s">
        <v>42</v>
      </c>
      <c r="B45" s="497">
        <f>B46/B47</f>
        <v>1.8545297279634256</v>
      </c>
      <c r="C45" s="501" t="s">
        <v>189</v>
      </c>
      <c r="D45" s="502"/>
      <c r="E45" s="502"/>
      <c r="F45" s="502"/>
      <c r="G45" s="503"/>
      <c r="H45" s="503"/>
      <c r="I45" s="503"/>
      <c r="J45" s="503"/>
    </row>
    <row r="46" spans="1:10" s="504" customFormat="1" x14ac:dyDescent="0.2">
      <c r="A46" s="164" t="s">
        <v>31</v>
      </c>
      <c r="B46" s="505">
        <f>+Net_revenue_plan</f>
        <v>2312487.3788384832</v>
      </c>
      <c r="C46" s="31"/>
      <c r="D46" s="506"/>
      <c r="E46" s="507"/>
      <c r="F46" s="506"/>
    </row>
    <row r="47" spans="1:10" s="504" customFormat="1" ht="13.5" thickBot="1" x14ac:dyDescent="0.25">
      <c r="A47" s="421" t="s">
        <v>45</v>
      </c>
      <c r="B47" s="508">
        <f>+'Tab-24 TimeAnalysis'!B13</f>
        <v>1246940.0430576918</v>
      </c>
      <c r="C47" s="509"/>
      <c r="D47" s="510"/>
      <c r="E47" s="511"/>
      <c r="F47" s="510"/>
      <c r="G47" s="512"/>
      <c r="H47" s="512"/>
      <c r="I47" s="512"/>
      <c r="J47" s="512"/>
    </row>
    <row r="48" spans="1:10" ht="13.5" thickTop="1" x14ac:dyDescent="0.2">
      <c r="A48" s="30"/>
      <c r="B48" s="496"/>
      <c r="C48" s="30"/>
      <c r="D48" s="496"/>
      <c r="E48" s="419"/>
      <c r="F48" s="496"/>
    </row>
    <row r="49" spans="1:10" x14ac:dyDescent="0.2">
      <c r="A49" s="30"/>
      <c r="B49" s="496"/>
      <c r="C49" s="30"/>
      <c r="D49" s="496"/>
      <c r="E49" s="419"/>
      <c r="F49" s="496"/>
    </row>
    <row r="50" spans="1:10" ht="13.5" thickBot="1" x14ac:dyDescent="0.25">
      <c r="A50" s="443" t="s">
        <v>47</v>
      </c>
      <c r="B50" s="513">
        <f>B51/B52</f>
        <v>0.53922025887293934</v>
      </c>
      <c r="C50" s="450"/>
      <c r="D50" s="498"/>
      <c r="E50" s="450"/>
      <c r="F50" s="498"/>
      <c r="G50" s="72"/>
      <c r="H50" s="72"/>
      <c r="I50" s="72"/>
      <c r="J50" s="72"/>
    </row>
    <row r="51" spans="1:10" s="14" customFormat="1" x14ac:dyDescent="0.2">
      <c r="A51" s="164" t="s">
        <v>121</v>
      </c>
      <c r="B51" s="479">
        <f>+B47</f>
        <v>1246940.0430576918</v>
      </c>
      <c r="C51" s="190"/>
      <c r="D51" s="514"/>
      <c r="E51" s="190"/>
      <c r="F51" s="514"/>
    </row>
    <row r="52" spans="1:10" s="14" customFormat="1" ht="13.5" thickBot="1" x14ac:dyDescent="0.25">
      <c r="A52" s="421" t="s">
        <v>188</v>
      </c>
      <c r="B52" s="487">
        <f>Net_revenue_plan</f>
        <v>2312487.3788384832</v>
      </c>
      <c r="C52" s="171"/>
      <c r="D52" s="500"/>
      <c r="E52" s="455"/>
      <c r="F52" s="500"/>
      <c r="G52" s="171"/>
      <c r="H52" s="171"/>
      <c r="I52" s="171"/>
      <c r="J52" s="171"/>
    </row>
    <row r="53" spans="1:10" s="14" customFormat="1" ht="13.5" thickTop="1" x14ac:dyDescent="0.2"/>
    <row r="54" spans="1:10" s="419" customFormat="1" ht="12" x14ac:dyDescent="0.15"/>
  </sheetData>
  <printOptions horizontalCentered="1" verticalCentered="1" headings="1"/>
  <pageMargins left="0.7" right="0.7" top="0.75" bottom="0.75" header="0.3" footer="0.3"/>
  <pageSetup scale="77" orientation="portrait" blackAndWhite="1" horizontalDpi="300" verticalDpi="300" r:id="rId1"/>
  <headerFooter>
    <oddHeader>&amp;L&amp;D
&amp;T&amp;C&amp;"Times New Roman,Italic"CAPP * Computer Aided Profit Plan
For Design Firm Financial Contorl
Profit Plan</oddHeader>
    <oddFooter>&amp;L&amp;A&amp;R&amp;P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3"/>
  <sheetViews>
    <sheetView zoomScaleNormal="100" workbookViewId="0">
      <selection activeCell="D32" sqref="D32"/>
    </sheetView>
  </sheetViews>
  <sheetFormatPr defaultRowHeight="12.75" x14ac:dyDescent="0.2"/>
  <cols>
    <col min="1" max="1" width="32" style="2" bestFit="1" customWidth="1"/>
    <col min="2" max="2" width="11.75" style="2" bestFit="1" customWidth="1"/>
    <col min="3" max="3" width="11.625" style="2" bestFit="1" customWidth="1"/>
    <col min="4" max="4" width="10.75" style="2" bestFit="1" customWidth="1"/>
    <col min="5" max="5" width="9.5" style="2" bestFit="1" customWidth="1"/>
    <col min="6" max="6" width="8.25" style="2" bestFit="1" customWidth="1"/>
    <col min="7" max="16384" width="9" style="2"/>
  </cols>
  <sheetData>
    <row r="1" spans="1:9" s="13" customFormat="1" x14ac:dyDescent="0.2">
      <c r="G1" s="2"/>
      <c r="H1" s="2"/>
      <c r="I1" s="2"/>
    </row>
    <row r="2" spans="1:9" s="13" customFormat="1" x14ac:dyDescent="0.2">
      <c r="G2" s="2"/>
      <c r="H2" s="2"/>
      <c r="I2" s="2"/>
    </row>
    <row r="4" spans="1:9" x14ac:dyDescent="0.2">
      <c r="A4" s="13"/>
      <c r="B4" s="472" t="s">
        <v>185</v>
      </c>
      <c r="C4" s="472" t="s">
        <v>62</v>
      </c>
      <c r="D4" s="472" t="s">
        <v>185</v>
      </c>
      <c r="E4" s="472" t="s">
        <v>62</v>
      </c>
      <c r="F4" s="13"/>
    </row>
    <row r="5" spans="1:9" ht="13.5" thickBot="1" x14ac:dyDescent="0.25">
      <c r="A5" s="163" t="s">
        <v>976</v>
      </c>
      <c r="B5" s="182" t="s">
        <v>225</v>
      </c>
      <c r="C5" s="474" t="s">
        <v>225</v>
      </c>
      <c r="D5" s="182" t="s">
        <v>224</v>
      </c>
      <c r="E5" s="182" t="s">
        <v>224</v>
      </c>
      <c r="F5" s="182" t="s">
        <v>208</v>
      </c>
    </row>
    <row r="6" spans="1:9" x14ac:dyDescent="0.2">
      <c r="A6" s="167" t="s">
        <v>76</v>
      </c>
      <c r="B6" s="515">
        <f>+'Tab-21 Labor Budget'!AO38</f>
        <v>606305.86800000002</v>
      </c>
      <c r="C6" s="9">
        <f t="shared" ref="C6:C15" si="0">B6/12</f>
        <v>50525.489000000001</v>
      </c>
      <c r="D6" s="516">
        <f>+'Tab-21 Labor Budget'!AB38</f>
        <v>22568</v>
      </c>
      <c r="E6" s="516">
        <f t="shared" ref="E6:E15" si="1">D6/12</f>
        <v>1880.6666666666667</v>
      </c>
      <c r="F6" s="499">
        <f t="shared" ref="F6:F15" si="2">D6/Standard_hours</f>
        <v>10.767175572519085</v>
      </c>
    </row>
    <row r="7" spans="1:9" x14ac:dyDescent="0.2">
      <c r="A7" s="167" t="s">
        <v>77</v>
      </c>
      <c r="B7" s="515">
        <f>+'Tab-21 Labor Budget'!AP38</f>
        <v>150139.55935384615</v>
      </c>
      <c r="C7" s="9">
        <f t="shared" si="0"/>
        <v>12511.629946153846</v>
      </c>
      <c r="D7" s="516">
        <f>+'Tab-21 Labor Budget'!AC38</f>
        <v>5208</v>
      </c>
      <c r="E7" s="516">
        <f t="shared" si="1"/>
        <v>434</v>
      </c>
      <c r="F7" s="499">
        <f t="shared" si="2"/>
        <v>2.4847328244274811</v>
      </c>
    </row>
    <row r="8" spans="1:9" ht="13.5" thickBot="1" x14ac:dyDescent="0.25">
      <c r="A8" s="178" t="s">
        <v>78</v>
      </c>
      <c r="B8" s="517">
        <f>+'Tab-21 Labor Budget'!AQ38</f>
        <v>69718.369846153844</v>
      </c>
      <c r="C8" s="452">
        <f t="shared" si="0"/>
        <v>5809.8641538461534</v>
      </c>
      <c r="D8" s="518">
        <f>+'Tab-21 Labor Budget'!AD38</f>
        <v>2592</v>
      </c>
      <c r="E8" s="518">
        <f t="shared" si="1"/>
        <v>216</v>
      </c>
      <c r="F8" s="519">
        <f t="shared" si="2"/>
        <v>1.2366412213740459</v>
      </c>
    </row>
    <row r="9" spans="1:9" ht="13.5" thickBot="1" x14ac:dyDescent="0.25">
      <c r="A9" s="163" t="s">
        <v>17</v>
      </c>
      <c r="B9" s="520">
        <f>+B6+B7+B8</f>
        <v>826163.79720000003</v>
      </c>
      <c r="C9" s="521">
        <f t="shared" si="0"/>
        <v>68846.983099999998</v>
      </c>
      <c r="D9" s="522">
        <f>+Tech_direct_hrs_total+D7+D8</f>
        <v>30368</v>
      </c>
      <c r="E9" s="522">
        <f t="shared" si="1"/>
        <v>2530.6666666666665</v>
      </c>
      <c r="F9" s="523">
        <f t="shared" si="2"/>
        <v>14.488549618320612</v>
      </c>
    </row>
    <row r="10" spans="1:9" x14ac:dyDescent="0.2">
      <c r="A10" s="164" t="s">
        <v>79</v>
      </c>
      <c r="B10" s="524">
        <f>+'Tab-21 Labor Budget'!AR38</f>
        <v>406255.16816538456</v>
      </c>
      <c r="C10" s="3">
        <f t="shared" si="0"/>
        <v>33854.597347115377</v>
      </c>
      <c r="D10" s="525">
        <f>+'Tab-21 Labor Budget'!AF38</f>
        <v>8112</v>
      </c>
      <c r="E10" s="525">
        <f t="shared" si="1"/>
        <v>676</v>
      </c>
      <c r="F10" s="36">
        <f t="shared" si="2"/>
        <v>3.8702290076335877</v>
      </c>
    </row>
    <row r="11" spans="1:9" ht="13.5" thickBot="1" x14ac:dyDescent="0.25">
      <c r="A11" s="178" t="s">
        <v>80</v>
      </c>
      <c r="B11" s="517">
        <f>+'Tab-21 Labor Budget'!AS38</f>
        <v>14521.077692307692</v>
      </c>
      <c r="C11" s="452">
        <f t="shared" si="0"/>
        <v>1210.0898076923077</v>
      </c>
      <c r="D11" s="518">
        <f>+'Tab-21 Labor Budget'!AG38</f>
        <v>576</v>
      </c>
      <c r="E11" s="518">
        <f t="shared" si="1"/>
        <v>48</v>
      </c>
      <c r="F11" s="519">
        <f t="shared" si="2"/>
        <v>0.27480916030534353</v>
      </c>
    </row>
    <row r="12" spans="1:9" ht="13.5" thickBot="1" x14ac:dyDescent="0.25">
      <c r="A12" s="163" t="s">
        <v>18</v>
      </c>
      <c r="B12" s="520">
        <f>+'Tab-21 Labor Budget'!AT38</f>
        <v>420776.24585769232</v>
      </c>
      <c r="C12" s="521">
        <f t="shared" si="0"/>
        <v>35064.687154807696</v>
      </c>
      <c r="D12" s="522">
        <f>+D10+D11</f>
        <v>8688</v>
      </c>
      <c r="E12" s="522">
        <f t="shared" si="1"/>
        <v>724</v>
      </c>
      <c r="F12" s="523">
        <f t="shared" si="2"/>
        <v>4.1450381679389317</v>
      </c>
    </row>
    <row r="13" spans="1:9" x14ac:dyDescent="0.2">
      <c r="A13" s="166" t="s">
        <v>81</v>
      </c>
      <c r="B13" s="526">
        <f>+'Tab-21 Labor Budget'!AN38</f>
        <v>1246940.0430576918</v>
      </c>
      <c r="C13" s="527">
        <f t="shared" si="0"/>
        <v>103911.67025480764</v>
      </c>
      <c r="D13" s="528">
        <f>+D12+D9</f>
        <v>39056</v>
      </c>
      <c r="E13" s="528">
        <f t="shared" si="1"/>
        <v>3254.6666666666665</v>
      </c>
      <c r="F13" s="529">
        <f t="shared" si="2"/>
        <v>18.633587786259543</v>
      </c>
    </row>
    <row r="14" spans="1:9" ht="13.5" thickBot="1" x14ac:dyDescent="0.25">
      <c r="A14" s="178" t="s">
        <v>229</v>
      </c>
      <c r="B14" s="517">
        <f>+'Tab-21 Labor Budget'!AY38</f>
        <v>84239.447538461536</v>
      </c>
      <c r="C14" s="452">
        <f t="shared" si="0"/>
        <v>7019.953961538461</v>
      </c>
      <c r="D14" s="518">
        <f>+D8+D11</f>
        <v>3168</v>
      </c>
      <c r="E14" s="518">
        <f t="shared" si="1"/>
        <v>264</v>
      </c>
      <c r="F14" s="519">
        <f t="shared" si="2"/>
        <v>1.5114503816793894</v>
      </c>
    </row>
    <row r="15" spans="1:9" ht="13.5" thickBot="1" x14ac:dyDescent="0.25">
      <c r="A15" s="421" t="s">
        <v>228</v>
      </c>
      <c r="B15" s="530">
        <f>+'Tab-21 Labor Budget'!AZ38</f>
        <v>1162700.5955192307</v>
      </c>
      <c r="C15" s="491">
        <f t="shared" si="0"/>
        <v>96891.71629326923</v>
      </c>
      <c r="D15" s="531">
        <f>+D13-D14</f>
        <v>35888</v>
      </c>
      <c r="E15" s="531">
        <f t="shared" si="1"/>
        <v>2990.6666666666665</v>
      </c>
      <c r="F15" s="532">
        <f t="shared" si="2"/>
        <v>17.122137404580151</v>
      </c>
    </row>
    <row r="16" spans="1:9" s="8" customFormat="1" ht="13.5" thickTop="1" x14ac:dyDescent="0.2">
      <c r="A16" s="167"/>
      <c r="B16" s="533"/>
      <c r="C16" s="2"/>
      <c r="D16" s="534"/>
      <c r="E16" s="533"/>
      <c r="F16" s="533"/>
    </row>
    <row r="17" spans="1:6" ht="13.5" thickBot="1" x14ac:dyDescent="0.25">
      <c r="A17" s="186" t="s">
        <v>82</v>
      </c>
      <c r="B17" s="535"/>
      <c r="C17" s="171"/>
      <c r="D17" s="536">
        <f>Standard_hours</f>
        <v>2096</v>
      </c>
      <c r="E17" s="535">
        <f>D17/12</f>
        <v>174.66666666666666</v>
      </c>
      <c r="F17" s="171"/>
    </row>
    <row r="18" spans="1:6" ht="13.5" thickTop="1" x14ac:dyDescent="0.2">
      <c r="A18" s="167"/>
      <c r="B18" s="533"/>
      <c r="D18" s="533"/>
      <c r="E18" s="533"/>
      <c r="F18" s="533"/>
    </row>
    <row r="19" spans="1:6" x14ac:dyDescent="0.2">
      <c r="A19" s="537" t="s">
        <v>227</v>
      </c>
      <c r="B19" s="499">
        <f>+B9/B12</f>
        <v>1.9634278439743742</v>
      </c>
      <c r="C19" s="36">
        <f>+C9/C12</f>
        <v>1.963427843974374</v>
      </c>
      <c r="D19" s="499">
        <f>+D9/D12</f>
        <v>3.4953959484346226</v>
      </c>
      <c r="E19" s="499">
        <f>+E9/E12</f>
        <v>3.4953959484346222</v>
      </c>
      <c r="F19" s="499">
        <f>+F9/F12</f>
        <v>3.4953959484346222</v>
      </c>
    </row>
    <row r="20" spans="1:6" ht="13.5" hidden="1" thickTop="1" x14ac:dyDescent="0.2">
      <c r="A20" s="538"/>
      <c r="B20" s="24"/>
      <c r="D20" s="24"/>
      <c r="E20" s="24"/>
      <c r="F20" s="24"/>
    </row>
    <row r="21" spans="1:6" ht="13.5" thickBot="1" x14ac:dyDescent="0.25">
      <c r="A21" s="163" t="s">
        <v>226</v>
      </c>
      <c r="B21" s="182" t="s">
        <v>225</v>
      </c>
      <c r="C21" s="474" t="s">
        <v>225</v>
      </c>
      <c r="D21" s="182" t="s">
        <v>224</v>
      </c>
      <c r="E21" s="182" t="s">
        <v>224</v>
      </c>
      <c r="F21" s="72"/>
    </row>
    <row r="22" spans="1:6" x14ac:dyDescent="0.2">
      <c r="A22" s="167" t="s">
        <v>223</v>
      </c>
      <c r="B22" s="423">
        <f>B6/B13</f>
        <v>0.48623498088427997</v>
      </c>
      <c r="C22" s="423">
        <f>C6/C13</f>
        <v>0.48623498088428002</v>
      </c>
      <c r="D22" s="423">
        <f>D6/D13</f>
        <v>0.57783695206882424</v>
      </c>
      <c r="E22" s="423">
        <f>E6/E13</f>
        <v>0.57783695206882435</v>
      </c>
    </row>
    <row r="23" spans="1:6" x14ac:dyDescent="0.2">
      <c r="A23" s="167" t="s">
        <v>222</v>
      </c>
      <c r="B23" s="423">
        <f>B6/B15</f>
        <v>0.52146345356367529</v>
      </c>
      <c r="C23" s="423">
        <f>C6/C15</f>
        <v>0.52146345356367529</v>
      </c>
      <c r="D23" s="423">
        <f>D6/D15</f>
        <v>0.6288452964779313</v>
      </c>
      <c r="E23" s="423">
        <f>E6/E15</f>
        <v>0.62884529647793141</v>
      </c>
    </row>
    <row r="24" spans="1:6" ht="13.5" thickBot="1" x14ac:dyDescent="0.25">
      <c r="A24" s="421" t="s">
        <v>221</v>
      </c>
      <c r="B24" s="422">
        <f>B6/B9</f>
        <v>0.73388094474106302</v>
      </c>
      <c r="C24" s="422">
        <f>C6/C9</f>
        <v>0.73388094474106302</v>
      </c>
      <c r="D24" s="422">
        <f>D6/D9</f>
        <v>0.74315068493150682</v>
      </c>
      <c r="E24" s="422">
        <f>E6/E9</f>
        <v>0.74315068493150693</v>
      </c>
      <c r="F24" s="171"/>
    </row>
    <row r="25" spans="1:6" ht="13.5" thickTop="1" x14ac:dyDescent="0.2"/>
    <row r="33" ht="12" customHeight="1" x14ac:dyDescent="0.2"/>
  </sheetData>
  <printOptions horizontalCentered="1" verticalCentered="1" headings="1"/>
  <pageMargins left="0.7" right="0.7" top="0.75" bottom="0.75" header="0.3" footer="0.3"/>
  <pageSetup orientation="landscape" blackAndWhite="1" horizontalDpi="300" verticalDpi="300" r:id="rId1"/>
  <headerFooter>
    <oddHeader>&amp;L&amp;D
&amp;T&amp;C&amp;"Times New Roman,Italic"CAPP * Computer Aided Profit Plan
For Design Firm Financial Contorl
Profit Plan</oddHeader>
    <oddFooter>&amp;L&amp;A&amp;R&amp;P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6"/>
  <sheetViews>
    <sheetView zoomScaleNormal="100" workbookViewId="0">
      <selection activeCell="G25" sqref="G25:G26"/>
    </sheetView>
  </sheetViews>
  <sheetFormatPr defaultRowHeight="12.75" x14ac:dyDescent="0.2"/>
  <cols>
    <col min="1" max="1" width="9.125" style="2" customWidth="1"/>
    <col min="2" max="2" width="7.25" style="2" customWidth="1"/>
    <col min="3" max="3" width="7.625" style="2" bestFit="1" customWidth="1"/>
    <col min="4" max="4" width="7.25" style="2" customWidth="1"/>
    <col min="5" max="5" width="7.125" style="2" customWidth="1"/>
    <col min="6" max="6" width="5.125" style="2" bestFit="1" customWidth="1"/>
    <col min="7" max="7" width="6.625" style="2" customWidth="1"/>
    <col min="8" max="8" width="6.75" style="2" customWidth="1"/>
    <col min="9" max="10" width="9.625" style="2" customWidth="1"/>
    <col min="11" max="11" width="7.75" style="2" customWidth="1"/>
    <col min="12" max="12" width="7.25" style="2" customWidth="1"/>
    <col min="13" max="16384" width="9" style="2"/>
  </cols>
  <sheetData>
    <row r="1" spans="1:16" s="218" customFormat="1" x14ac:dyDescent="0.2">
      <c r="M1" s="2"/>
      <c r="N1" s="2"/>
      <c r="O1" s="2"/>
      <c r="P1" s="2"/>
    </row>
    <row r="2" spans="1:16" s="218" customFormat="1" x14ac:dyDescent="0.2">
      <c r="M2" s="2"/>
      <c r="N2" s="2"/>
      <c r="O2" s="2"/>
      <c r="P2" s="2"/>
    </row>
    <row r="3" spans="1:16" s="218" customFormat="1" x14ac:dyDescent="0.2">
      <c r="M3" s="2"/>
      <c r="N3" s="2"/>
      <c r="O3" s="2"/>
      <c r="P3" s="2"/>
    </row>
    <row r="4" spans="1:16" s="218" customFormat="1" x14ac:dyDescent="0.2">
      <c r="A4" s="539" t="s">
        <v>55</v>
      </c>
      <c r="B4" s="426" t="s">
        <v>52</v>
      </c>
      <c r="C4" s="426" t="s">
        <v>152</v>
      </c>
      <c r="D4" s="426" t="s">
        <v>52</v>
      </c>
      <c r="E4" s="426" t="s">
        <v>152</v>
      </c>
      <c r="F4" s="2"/>
      <c r="G4" s="426" t="s">
        <v>921</v>
      </c>
      <c r="H4" s="426" t="s">
        <v>921</v>
      </c>
      <c r="I4" s="426" t="s">
        <v>920</v>
      </c>
      <c r="J4" s="426" t="s">
        <v>919</v>
      </c>
      <c r="K4" s="426" t="s">
        <v>918</v>
      </c>
      <c r="L4" s="426" t="s">
        <v>917</v>
      </c>
      <c r="M4" s="2"/>
      <c r="N4" s="2"/>
      <c r="O4" s="2"/>
      <c r="P4" s="2"/>
    </row>
    <row r="5" spans="1:16" s="218" customFormat="1" ht="13.5" thickBot="1" x14ac:dyDescent="0.25">
      <c r="A5" s="425" t="s">
        <v>916</v>
      </c>
      <c r="B5" s="426" t="s">
        <v>647</v>
      </c>
      <c r="C5" s="426" t="s">
        <v>225</v>
      </c>
      <c r="D5" s="426" t="s">
        <v>224</v>
      </c>
      <c r="E5" s="426" t="s">
        <v>224</v>
      </c>
      <c r="F5" s="426" t="s">
        <v>208</v>
      </c>
      <c r="G5" s="426" t="s">
        <v>224</v>
      </c>
      <c r="H5" s="426" t="s">
        <v>225</v>
      </c>
      <c r="I5" s="426" t="s">
        <v>915</v>
      </c>
      <c r="J5" s="426" t="s">
        <v>915</v>
      </c>
      <c r="K5" s="426" t="s">
        <v>633</v>
      </c>
      <c r="L5" s="426" t="s">
        <v>633</v>
      </c>
      <c r="M5" s="2"/>
      <c r="N5" s="2"/>
      <c r="O5" s="2"/>
      <c r="P5" s="2"/>
    </row>
    <row r="6" spans="1:16" s="218" customFormat="1" x14ac:dyDescent="0.2">
      <c r="A6" s="428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2"/>
      <c r="N6" s="2"/>
      <c r="O6" s="2"/>
      <c r="P6" s="2"/>
    </row>
    <row r="7" spans="1:16" s="218" customFormat="1" x14ac:dyDescent="0.2">
      <c r="A7" s="430" t="s">
        <v>628</v>
      </c>
      <c r="B7" s="540">
        <f>+'Tab-21 Labor Budget'!AL35</f>
        <v>41599.919999999998</v>
      </c>
      <c r="C7" s="540">
        <f>+'Tab-21 Labor Budget'!AO35</f>
        <v>27039.948</v>
      </c>
      <c r="D7" s="540">
        <f>+'Tab-21 Labor Budget'!R35</f>
        <v>2080</v>
      </c>
      <c r="E7" s="540">
        <f>+'Tab-21 Labor Budget'!AB35</f>
        <v>1352</v>
      </c>
      <c r="F7" s="541">
        <f>+Total_principal_hours/2080</f>
        <v>1</v>
      </c>
      <c r="G7" s="542">
        <f>+E7/E10</f>
        <v>5.9907834101382486E-2</v>
      </c>
      <c r="H7" s="542">
        <f>+C7/C10</f>
        <v>4.4597866237375751E-2</v>
      </c>
      <c r="I7" s="543">
        <f>+B7/Total_principal_hours</f>
        <v>19.999961538461537</v>
      </c>
      <c r="J7" s="543">
        <f>+C7/E7</f>
        <v>19.999961538461537</v>
      </c>
      <c r="K7" s="543">
        <f>Ave_labor_rate_principal*DPE_factor_plan</f>
        <v>25.500950385471725</v>
      </c>
      <c r="L7" s="543">
        <f>Ave_direct_labor_rate_principal*Net_multiplier_plan</f>
        <v>76.281067157587529</v>
      </c>
      <c r="M7" s="2"/>
      <c r="N7" s="2"/>
      <c r="O7" s="2"/>
      <c r="P7" s="2"/>
    </row>
    <row r="8" spans="1:16" ht="13.5" thickBot="1" x14ac:dyDescent="0.25">
      <c r="A8" s="430" t="s">
        <v>627</v>
      </c>
      <c r="B8" s="544">
        <f>+'Tab-21 Labor Budget'!AL36</f>
        <v>1186912.4376923074</v>
      </c>
      <c r="C8" s="544">
        <f>+'Tab-21 Labor Budget'!AO36</f>
        <v>579265.92000000004</v>
      </c>
      <c r="D8" s="544">
        <f>+'Tab-21 Labor Budget'!R36</f>
        <v>36400</v>
      </c>
      <c r="E8" s="544">
        <f>+'Tab-21 Labor Budget'!AB36</f>
        <v>21216</v>
      </c>
      <c r="F8" s="545">
        <f>+D8/2080</f>
        <v>17.5</v>
      </c>
      <c r="G8" s="546">
        <f>+E8/E10</f>
        <v>0.94009216589861755</v>
      </c>
      <c r="H8" s="546">
        <f>+C8/C10</f>
        <v>0.95540213376262428</v>
      </c>
      <c r="I8" s="318">
        <f>+B8/D8</f>
        <v>32.607484551986467</v>
      </c>
      <c r="J8" s="318">
        <f>+C8/E8</f>
        <v>27.303257918552038</v>
      </c>
      <c r="K8" s="318">
        <f>Ave_direct_labor_rate_employee*DPE_factor_plan</f>
        <v>34.813018225248648</v>
      </c>
      <c r="L8" s="318">
        <f>Ave_direct_labor_rate_employee*Net_multiplier_plan</f>
        <v>104.1362828073824</v>
      </c>
    </row>
    <row r="9" spans="1:16" x14ac:dyDescent="0.2">
      <c r="A9" s="428"/>
      <c r="B9" s="547"/>
      <c r="C9" s="540"/>
      <c r="D9" s="548"/>
      <c r="E9" s="549"/>
      <c r="F9" s="550"/>
      <c r="G9" s="542"/>
      <c r="H9" s="542"/>
      <c r="I9" s="543"/>
      <c r="J9" s="543"/>
      <c r="K9" s="543"/>
      <c r="L9" s="543"/>
    </row>
    <row r="10" spans="1:16" ht="13.5" thickBot="1" x14ac:dyDescent="0.25">
      <c r="A10" s="430" t="s">
        <v>914</v>
      </c>
      <c r="B10" s="551">
        <f>+B7+B8</f>
        <v>1228512.3576923073</v>
      </c>
      <c r="C10" s="551">
        <f>+C7+C8</f>
        <v>606305.86800000002</v>
      </c>
      <c r="D10" s="551">
        <f>+D7+D8</f>
        <v>38480</v>
      </c>
      <c r="E10" s="551">
        <f>+E7+E8</f>
        <v>22568</v>
      </c>
      <c r="F10" s="552">
        <f>+F7+F8</f>
        <v>18.5</v>
      </c>
      <c r="G10" s="553">
        <f>SUM(G7:G9)</f>
        <v>1</v>
      </c>
      <c r="H10" s="553">
        <f>SUM(H7:H9)</f>
        <v>1</v>
      </c>
      <c r="I10" s="320">
        <f>+B10/D10</f>
        <v>31.925996821525658</v>
      </c>
      <c r="J10" s="320">
        <f>+C10/E10</f>
        <v>26.865733250620348</v>
      </c>
      <c r="K10" s="320">
        <f>Ave_direct_labor_rate_firmwide*DPE_factor_plan</f>
        <v>34.25515240996247</v>
      </c>
      <c r="L10" s="320">
        <f>Ave_direct_labor_rate_firmwide*Net_multiplier_plan</f>
        <v>102.46753716937624</v>
      </c>
    </row>
    <row r="11" spans="1:16" ht="13.5" thickTop="1" x14ac:dyDescent="0.2">
      <c r="A11" s="554"/>
    </row>
    <row r="16" spans="1:16" x14ac:dyDescent="0.2">
      <c r="D16" s="175"/>
    </row>
  </sheetData>
  <printOptions horizontalCentered="1" verticalCentered="1" headings="1"/>
  <pageMargins left="0.7" right="0.7" top="0.75" bottom="0.75" header="0.3" footer="0.3"/>
  <pageSetup orientation="landscape" blackAndWhite="1" horizontalDpi="300" verticalDpi="300" r:id="rId1"/>
  <headerFooter>
    <oddHeader>&amp;L&amp;D
&amp;T&amp;C&amp;"Times New Roman,Italic"CAPP * Computer Aided Profit Plan
For Design Firm Financial Contorl
Profit Plan</oddHeader>
    <oddFooter>&amp;L&amp;A&amp;R&amp;P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J46"/>
  <sheetViews>
    <sheetView zoomScaleNormal="100" workbookViewId="0">
      <selection activeCell="I22" sqref="I22"/>
    </sheetView>
  </sheetViews>
  <sheetFormatPr defaultRowHeight="12.75" x14ac:dyDescent="0.2"/>
  <cols>
    <col min="1" max="1" width="32.75" style="2" customWidth="1"/>
    <col min="2" max="2" width="13.25" style="2" bestFit="1" customWidth="1"/>
    <col min="3" max="3" width="10" style="2" customWidth="1"/>
    <col min="4" max="4" width="13.25" style="2" bestFit="1" customWidth="1"/>
    <col min="5" max="5" width="10.125" style="2" customWidth="1"/>
    <col min="6" max="9" width="9" style="14"/>
    <col min="10" max="16384" width="9" style="2"/>
  </cols>
  <sheetData>
    <row r="2" spans="1:6" x14ac:dyDescent="0.2">
      <c r="F2" s="30"/>
    </row>
    <row r="4" spans="1:6" x14ac:dyDescent="0.2">
      <c r="A4" s="188" t="s">
        <v>728</v>
      </c>
      <c r="B4" s="555"/>
      <c r="C4" s="555"/>
      <c r="D4" s="555"/>
      <c r="E4" s="11"/>
    </row>
    <row r="5" spans="1:6" x14ac:dyDescent="0.2">
      <c r="A5" s="164"/>
      <c r="B5" s="30"/>
      <c r="C5" s="30"/>
      <c r="D5" s="14"/>
    </row>
    <row r="6" spans="1:6" x14ac:dyDescent="0.2">
      <c r="A6" s="167" t="s">
        <v>727</v>
      </c>
      <c r="B6" s="446">
        <f>+'Tab-21 Labor Budget'!AL38</f>
        <v>1228512.3576923073</v>
      </c>
      <c r="C6" s="9"/>
      <c r="D6" s="9"/>
    </row>
    <row r="7" spans="1:6" x14ac:dyDescent="0.2">
      <c r="A7" s="166" t="s">
        <v>726</v>
      </c>
      <c r="B7" s="446"/>
      <c r="C7" s="9"/>
      <c r="D7" s="9"/>
    </row>
    <row r="8" spans="1:6" x14ac:dyDescent="0.2">
      <c r="A8" s="167" t="s">
        <v>725</v>
      </c>
      <c r="B8" s="446">
        <f>+'Tab-21 Labor Budget'!AU38</f>
        <v>37439.754461538469</v>
      </c>
      <c r="C8" s="446">
        <f>B8</f>
        <v>37439.754461538469</v>
      </c>
      <c r="D8" s="9"/>
      <c r="F8" s="30"/>
    </row>
    <row r="9" spans="1:6" x14ac:dyDescent="0.2">
      <c r="A9" s="167" t="s">
        <v>724</v>
      </c>
      <c r="B9" s="446">
        <f>+'Tab-21 Labor Budget'!AV38</f>
        <v>46799.693076923075</v>
      </c>
      <c r="C9" s="446">
        <f>B9</f>
        <v>46799.693076923075</v>
      </c>
      <c r="D9" s="9"/>
    </row>
    <row r="10" spans="1:6" ht="13.5" thickBot="1" x14ac:dyDescent="0.25">
      <c r="A10" s="167" t="s">
        <v>723</v>
      </c>
      <c r="B10" s="446">
        <f>+'Tab-21 Labor Budget'!U38</f>
        <v>0</v>
      </c>
      <c r="C10" s="479">
        <f>B10</f>
        <v>0</v>
      </c>
      <c r="D10" s="9"/>
    </row>
    <row r="11" spans="1:6" x14ac:dyDescent="0.2">
      <c r="A11" s="451"/>
      <c r="B11" s="448"/>
      <c r="C11" s="9"/>
      <c r="D11" s="9"/>
    </row>
    <row r="12" spans="1:6" x14ac:dyDescent="0.2">
      <c r="A12" s="167" t="s">
        <v>722</v>
      </c>
      <c r="B12" s="446">
        <f>+'Tab-21 Labor Budget'!AZ38</f>
        <v>1162700.5955192307</v>
      </c>
      <c r="C12" s="9"/>
      <c r="D12" s="9"/>
      <c r="F12" s="30"/>
    </row>
    <row r="13" spans="1:6" x14ac:dyDescent="0.2">
      <c r="A13" s="167" t="s">
        <v>721</v>
      </c>
      <c r="B13" s="479">
        <f>+'Tab-21 Labor Budget'!BK38</f>
        <v>37408.201291730758</v>
      </c>
      <c r="C13" s="9"/>
      <c r="D13" s="9"/>
    </row>
    <row r="14" spans="1:6" ht="13.5" thickBot="1" x14ac:dyDescent="0.25">
      <c r="A14" s="167" t="s">
        <v>720</v>
      </c>
      <c r="B14" s="449">
        <f>+'Tab-21 Labor Budget'!BJ38</f>
        <v>38530.44733048269</v>
      </c>
      <c r="C14" s="9"/>
      <c r="D14" s="9"/>
      <c r="F14" s="30"/>
    </row>
    <row r="15" spans="1:6" x14ac:dyDescent="0.2">
      <c r="A15" s="451"/>
      <c r="B15" s="448"/>
      <c r="C15" s="9"/>
      <c r="D15" s="9"/>
    </row>
    <row r="16" spans="1:6" ht="13.5" thickBot="1" x14ac:dyDescent="0.25">
      <c r="A16" s="166" t="s">
        <v>719</v>
      </c>
      <c r="B16" s="556">
        <f>B12+B13+B14</f>
        <v>1238639.2441414443</v>
      </c>
      <c r="C16" s="9"/>
      <c r="D16" s="556">
        <f>B16</f>
        <v>1238639.2441414443</v>
      </c>
    </row>
    <row r="17" spans="1:6" ht="13.5" thickTop="1" x14ac:dyDescent="0.2">
      <c r="A17" s="538"/>
      <c r="B17" s="27"/>
      <c r="C17" s="9"/>
      <c r="D17" s="33"/>
    </row>
    <row r="18" spans="1:6" x14ac:dyDescent="0.2">
      <c r="A18" s="166" t="s">
        <v>718</v>
      </c>
      <c r="B18" s="9"/>
      <c r="C18" s="9"/>
      <c r="D18" s="9"/>
    </row>
    <row r="19" spans="1:6" x14ac:dyDescent="0.2">
      <c r="A19" s="167" t="s">
        <v>642</v>
      </c>
      <c r="B19" s="446">
        <f>+'Tab-21 Labor Budget'!BA38</f>
        <v>76981.070639199999</v>
      </c>
      <c r="C19" s="9"/>
      <c r="D19" s="9"/>
    </row>
    <row r="20" spans="1:6" x14ac:dyDescent="0.2">
      <c r="A20" s="167" t="s">
        <v>641</v>
      </c>
      <c r="B20" s="446">
        <f>+'Tab-21 Labor Budget'!BB38</f>
        <v>18080.630624336536</v>
      </c>
      <c r="C20" s="9"/>
      <c r="D20" s="9"/>
    </row>
    <row r="21" spans="1:6" x14ac:dyDescent="0.2">
      <c r="A21" s="167" t="s">
        <v>717</v>
      </c>
      <c r="B21" s="446">
        <f>+'Tab-21 Labor Budget'!BC38</f>
        <v>2646.1350379060968</v>
      </c>
      <c r="C21" s="9"/>
      <c r="D21" s="9"/>
    </row>
    <row r="22" spans="1:6" x14ac:dyDescent="0.2">
      <c r="A22" s="167" t="s">
        <v>716</v>
      </c>
      <c r="B22" s="446">
        <f>+'Tab-21 Labor Budget'!BD38</f>
        <v>1288</v>
      </c>
      <c r="C22" s="9"/>
      <c r="D22" s="9"/>
      <c r="F22" s="30"/>
    </row>
    <row r="23" spans="1:6" x14ac:dyDescent="0.2">
      <c r="A23" s="167" t="s">
        <v>715</v>
      </c>
      <c r="B23" s="446">
        <f>+'Tab-21 Labor Budget'!BE38</f>
        <v>3772.2300000000023</v>
      </c>
      <c r="C23" s="9"/>
      <c r="D23" s="9"/>
    </row>
    <row r="24" spans="1:6" ht="13.5" thickBot="1" x14ac:dyDescent="0.25">
      <c r="A24" s="167" t="s">
        <v>714</v>
      </c>
      <c r="B24" s="446">
        <f>+'Tab-21 Labor Budget'!BF38</f>
        <v>8972.1747032884632</v>
      </c>
      <c r="C24" s="9"/>
      <c r="D24" s="9"/>
    </row>
    <row r="25" spans="1:6" x14ac:dyDescent="0.2">
      <c r="A25" s="451"/>
      <c r="B25" s="448"/>
      <c r="C25" s="9"/>
      <c r="D25" s="9"/>
    </row>
    <row r="26" spans="1:6" ht="13.5" thickBot="1" x14ac:dyDescent="0.25">
      <c r="A26" s="512" t="s">
        <v>713</v>
      </c>
      <c r="B26" s="491">
        <f>B19+B20+B21+B22+B23+B24</f>
        <v>111740.2410047311</v>
      </c>
      <c r="C26" s="446">
        <f>B26</f>
        <v>111740.2410047311</v>
      </c>
      <c r="D26" s="9"/>
    </row>
    <row r="27" spans="1:6" ht="13.5" thickTop="1" x14ac:dyDescent="0.2">
      <c r="A27" s="504"/>
      <c r="B27" s="9"/>
      <c r="C27" s="446"/>
      <c r="D27" s="9"/>
    </row>
    <row r="28" spans="1:6" x14ac:dyDescent="0.2">
      <c r="A28" s="166" t="s">
        <v>712</v>
      </c>
      <c r="B28" s="9"/>
      <c r="C28" s="9"/>
      <c r="D28" s="9"/>
    </row>
    <row r="29" spans="1:6" x14ac:dyDescent="0.2">
      <c r="A29" s="167" t="s">
        <v>711</v>
      </c>
      <c r="B29" s="446">
        <f>+'Tab-21 Labor Budget'!BG38</f>
        <v>135238.20000000007</v>
      </c>
      <c r="C29" s="9"/>
      <c r="D29" s="9"/>
    </row>
    <row r="30" spans="1:6" x14ac:dyDescent="0.2">
      <c r="A30" s="167" t="s">
        <v>985</v>
      </c>
      <c r="B30" s="446">
        <f>+'Tab-22 ProfitPlan'!C173</f>
        <v>-21241.680000000004</v>
      </c>
      <c r="C30" s="9"/>
      <c r="D30" s="9"/>
    </row>
    <row r="31" spans="1:6" x14ac:dyDescent="0.2">
      <c r="A31" s="167" t="s">
        <v>710</v>
      </c>
      <c r="B31" s="446">
        <f>+'Tab-21 Labor Budget'!BI38</f>
        <v>9469.7999999999975</v>
      </c>
      <c r="C31" s="9"/>
      <c r="D31" s="9"/>
      <c r="F31" s="30"/>
    </row>
    <row r="32" spans="1:6" x14ac:dyDescent="0.2">
      <c r="A32" s="167" t="s">
        <v>709</v>
      </c>
      <c r="B32" s="446">
        <f>+'Tab-21 Labor Budget'!AA38</f>
        <v>0</v>
      </c>
      <c r="C32" s="9"/>
      <c r="D32" s="9"/>
    </row>
    <row r="33" spans="1:10" ht="13.5" thickBot="1" x14ac:dyDescent="0.25">
      <c r="A33" s="421" t="s">
        <v>708</v>
      </c>
      <c r="B33" s="487">
        <f>+'Tab-21 Labor Budget'!Z38</f>
        <v>0</v>
      </c>
      <c r="C33" s="9"/>
      <c r="D33" s="9"/>
      <c r="F33" s="30"/>
    </row>
    <row r="34" spans="1:10" ht="13.5" thickTop="1" x14ac:dyDescent="0.2">
      <c r="A34" s="451"/>
      <c r="B34" s="448"/>
      <c r="C34" s="9"/>
      <c r="D34" s="9"/>
    </row>
    <row r="35" spans="1:10" ht="13.5" thickBot="1" x14ac:dyDescent="0.25">
      <c r="A35" s="504" t="s">
        <v>707</v>
      </c>
      <c r="B35" s="9">
        <f>B29+B31+B32+B33</f>
        <v>144708.00000000006</v>
      </c>
      <c r="C35" s="446">
        <f>B35</f>
        <v>144708.00000000006</v>
      </c>
      <c r="D35" s="9"/>
      <c r="F35" s="30"/>
    </row>
    <row r="36" spans="1:10" x14ac:dyDescent="0.2">
      <c r="A36" s="451"/>
      <c r="B36" s="448"/>
      <c r="C36" s="448"/>
      <c r="D36" s="9"/>
    </row>
    <row r="37" spans="1:10" ht="13.5" thickBot="1" x14ac:dyDescent="0.25">
      <c r="A37" s="504" t="s">
        <v>435</v>
      </c>
      <c r="B37" s="9"/>
      <c r="C37" s="446">
        <f>C35+C26+C10+C9+C8</f>
        <v>340687.68854319269</v>
      </c>
      <c r="D37" s="446">
        <f>+C37</f>
        <v>340687.68854319269</v>
      </c>
    </row>
    <row r="38" spans="1:10" ht="13.5" thickTop="1" x14ac:dyDescent="0.2">
      <c r="A38" s="538"/>
      <c r="B38" s="24"/>
      <c r="C38" s="24"/>
      <c r="D38" s="24"/>
      <c r="F38" s="30"/>
    </row>
    <row r="39" spans="1:10" x14ac:dyDescent="0.2">
      <c r="A39" s="504"/>
    </row>
    <row r="40" spans="1:10" ht="13.5" thickBot="1" x14ac:dyDescent="0.25">
      <c r="A40" s="166" t="s">
        <v>706</v>
      </c>
    </row>
    <row r="41" spans="1:10" x14ac:dyDescent="0.2">
      <c r="A41" s="451"/>
      <c r="B41" s="176"/>
      <c r="C41" s="176"/>
      <c r="D41" s="176"/>
      <c r="F41" s="30"/>
    </row>
    <row r="42" spans="1:10" x14ac:dyDescent="0.2">
      <c r="A42" s="167" t="s">
        <v>705</v>
      </c>
      <c r="D42" s="557">
        <f>+D37/Total_wages_for_hours_worked</f>
        <v>0.27504997129276199</v>
      </c>
      <c r="J42" s="14"/>
    </row>
    <row r="43" spans="1:10" ht="13.5" thickBot="1" x14ac:dyDescent="0.25">
      <c r="A43" s="167" t="s">
        <v>704</v>
      </c>
      <c r="D43" s="557">
        <v>1</v>
      </c>
      <c r="F43" s="30"/>
      <c r="G43" s="2"/>
      <c r="J43" s="30"/>
    </row>
    <row r="44" spans="1:10" x14ac:dyDescent="0.2">
      <c r="A44" s="451"/>
      <c r="B44" s="176"/>
      <c r="C44" s="176"/>
      <c r="D44" s="176"/>
      <c r="E44" s="176"/>
      <c r="F44" s="558"/>
      <c r="H44" s="30"/>
      <c r="I44" s="30"/>
      <c r="J44" s="30"/>
    </row>
    <row r="45" spans="1:10" ht="13.5" thickBot="1" x14ac:dyDescent="0.25">
      <c r="A45" s="504" t="s">
        <v>171</v>
      </c>
      <c r="D45" s="557">
        <f>D42+D43</f>
        <v>1.2750499712927619</v>
      </c>
      <c r="E45" s="423">
        <f>D45</f>
        <v>1.2750499712927619</v>
      </c>
      <c r="J45" s="14"/>
    </row>
    <row r="46" spans="1:10" ht="13.5" thickTop="1" x14ac:dyDescent="0.2">
      <c r="A46" s="538"/>
      <c r="B46" s="24"/>
      <c r="C46" s="24"/>
      <c r="D46" s="24"/>
      <c r="E46" s="24"/>
    </row>
  </sheetData>
  <printOptions horizontalCentered="1" verticalCentered="1" headings="1"/>
  <pageMargins left="0.7" right="0.7" top="0.75" bottom="0.75" header="0.3" footer="0.3"/>
  <pageSetup orientation="portrait" blackAndWhite="1" horizontalDpi="300" verticalDpi="300" r:id="rId1"/>
  <headerFooter>
    <oddHeader>&amp;L&amp;D
&amp;T&amp;C&amp;"Times New Roman,Italic"CAPP * Computer Aided Profit Plan
For Design Firm Financial Contorl
Profit Plan</oddHeader>
    <oddFooter>&amp;L&amp;A&amp;R&amp;P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591"/>
  <sheetViews>
    <sheetView topLeftCell="A355" zoomScale="85" zoomScaleNormal="85" zoomScaleSheetLayoutView="100" workbookViewId="0">
      <selection activeCell="T374" sqref="T374"/>
    </sheetView>
  </sheetViews>
  <sheetFormatPr defaultRowHeight="11.25" x14ac:dyDescent="0.2"/>
  <cols>
    <col min="1" max="1" width="5.875" style="195" customWidth="1"/>
    <col min="2" max="2" width="22.125" style="194" customWidth="1"/>
    <col min="3" max="4" width="9.25" style="246" bestFit="1" customWidth="1"/>
    <col min="5" max="5" width="8.875" style="246" customWidth="1"/>
    <col min="6" max="6" width="9.25" style="246" customWidth="1"/>
    <col min="7" max="8" width="9.25" style="246" bestFit="1" customWidth="1"/>
    <col min="9" max="9" width="10.125" style="246" bestFit="1" customWidth="1"/>
    <col min="10" max="11" width="9.25" style="246" bestFit="1" customWidth="1"/>
    <col min="12" max="12" width="11" style="246" customWidth="1"/>
    <col min="13" max="13" width="9.25" style="246" bestFit="1" customWidth="1"/>
    <col min="14" max="14" width="10.25" style="246" hidden="1" customWidth="1"/>
    <col min="15" max="16384" width="9" style="218"/>
  </cols>
  <sheetData>
    <row r="1" spans="1:14" s="194" customFormat="1" x14ac:dyDescent="0.2">
      <c r="A1" s="193"/>
      <c r="B1" s="833" t="s">
        <v>988</v>
      </c>
      <c r="G1" s="204"/>
    </row>
    <row r="2" spans="1:14" s="194" customFormat="1" x14ac:dyDescent="0.2">
      <c r="A2" s="193"/>
      <c r="B2" s="833" t="s">
        <v>892</v>
      </c>
    </row>
    <row r="3" spans="1:14" s="194" customFormat="1" x14ac:dyDescent="0.2">
      <c r="A3" s="193"/>
      <c r="B3" s="856">
        <v>41274</v>
      </c>
    </row>
    <row r="4" spans="1:14" s="194" customFormat="1" x14ac:dyDescent="0.2">
      <c r="A4" s="195"/>
      <c r="C4" s="196"/>
      <c r="D4" s="196"/>
      <c r="E4" s="196"/>
      <c r="F4" s="196"/>
      <c r="G4" s="196"/>
      <c r="H4" s="199"/>
      <c r="I4" s="196"/>
      <c r="J4" s="196"/>
      <c r="K4" s="196"/>
      <c r="L4" s="196"/>
      <c r="M4" s="196"/>
      <c r="N4" s="196" t="s">
        <v>891</v>
      </c>
    </row>
    <row r="5" spans="1:14" s="194" customFormat="1" x14ac:dyDescent="0.2">
      <c r="A5" s="195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 t="s">
        <v>890</v>
      </c>
    </row>
    <row r="6" spans="1:14" s="200" customFormat="1" x14ac:dyDescent="0.2">
      <c r="A6" s="197"/>
      <c r="B6" s="198"/>
      <c r="C6" s="196" t="s">
        <v>1</v>
      </c>
      <c r="D6" s="196" t="s">
        <v>1</v>
      </c>
      <c r="E6" s="196" t="s">
        <v>1</v>
      </c>
      <c r="F6" s="196" t="s">
        <v>1</v>
      </c>
      <c r="G6" s="196" t="s">
        <v>1</v>
      </c>
      <c r="H6" s="196" t="s">
        <v>1</v>
      </c>
      <c r="I6" s="196" t="s">
        <v>1</v>
      </c>
      <c r="J6" s="196" t="s">
        <v>1</v>
      </c>
      <c r="K6" s="196" t="s">
        <v>1</v>
      </c>
      <c r="L6" s="196" t="str">
        <f>+'Tab-22 ProfitPlan'!C6</f>
        <v>Annual</v>
      </c>
      <c r="M6" s="196" t="s">
        <v>57</v>
      </c>
      <c r="N6" s="199" t="s">
        <v>889</v>
      </c>
    </row>
    <row r="7" spans="1:14" s="204" customFormat="1" x14ac:dyDescent="0.2">
      <c r="A7" s="201" t="s">
        <v>618</v>
      </c>
      <c r="B7" s="202" t="s">
        <v>617</v>
      </c>
      <c r="C7" s="713">
        <v>1</v>
      </c>
      <c r="D7" s="713">
        <v>2</v>
      </c>
      <c r="E7" s="713">
        <v>3</v>
      </c>
      <c r="F7" s="713">
        <v>4</v>
      </c>
      <c r="G7" s="713">
        <v>5</v>
      </c>
      <c r="H7" s="713">
        <v>6</v>
      </c>
      <c r="I7" s="713">
        <v>7</v>
      </c>
      <c r="J7" s="713">
        <v>8</v>
      </c>
      <c r="K7" s="713">
        <v>9</v>
      </c>
      <c r="L7" s="199" t="str">
        <f>+'Tab-22 ProfitPlan'!C7</f>
        <v>Plan2012</v>
      </c>
      <c r="M7" s="199" t="s">
        <v>888</v>
      </c>
      <c r="N7" s="203" t="s">
        <v>887</v>
      </c>
    </row>
    <row r="8" spans="1:14" s="208" customFormat="1" x14ac:dyDescent="0.2">
      <c r="A8" s="205"/>
      <c r="B8" s="206"/>
      <c r="C8" s="857">
        <v>2003</v>
      </c>
      <c r="D8" s="857">
        <v>2004</v>
      </c>
      <c r="E8" s="857">
        <v>2005</v>
      </c>
      <c r="F8" s="857">
        <v>2006</v>
      </c>
      <c r="G8" s="857">
        <v>2007</v>
      </c>
      <c r="H8" s="857">
        <v>2008</v>
      </c>
      <c r="I8" s="857">
        <v>2009</v>
      </c>
      <c r="J8" s="857">
        <v>2010</v>
      </c>
      <c r="K8" s="857">
        <v>2011</v>
      </c>
      <c r="L8" s="207" t="str">
        <f>+L7</f>
        <v>Plan2012</v>
      </c>
      <c r="M8" s="207" t="s">
        <v>886</v>
      </c>
      <c r="N8" s="203">
        <v>2007</v>
      </c>
    </row>
    <row r="9" spans="1:14" s="194" customFormat="1" x14ac:dyDescent="0.2">
      <c r="A9" s="209"/>
      <c r="B9" s="210"/>
      <c r="N9" s="204"/>
    </row>
    <row r="10" spans="1:14" s="194" customFormat="1" ht="12" thickBot="1" x14ac:dyDescent="0.25">
      <c r="A10" s="211"/>
      <c r="B10" s="212" t="s">
        <v>615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04"/>
    </row>
    <row r="11" spans="1:14" x14ac:dyDescent="0.2">
      <c r="A11" s="836" t="s">
        <v>614</v>
      </c>
      <c r="B11" s="837" t="s">
        <v>613</v>
      </c>
      <c r="C11" s="748">
        <v>4933658.6500000004</v>
      </c>
      <c r="D11" s="748">
        <v>4377353.1500000004</v>
      </c>
      <c r="E11" s="748">
        <v>3729955.42</v>
      </c>
      <c r="F11" s="748">
        <v>4484813.5999999996</v>
      </c>
      <c r="G11" s="748">
        <v>4544117.4800000004</v>
      </c>
      <c r="H11" s="748">
        <v>5046520.45</v>
      </c>
      <c r="I11" s="748">
        <v>3294857.24</v>
      </c>
      <c r="J11" s="748">
        <v>2205851.23</v>
      </c>
      <c r="K11" s="748">
        <v>1293547.06</v>
      </c>
      <c r="L11" s="216">
        <f>+'Tab-22 ProfitPlan'!C11</f>
        <v>2272793.725479438</v>
      </c>
      <c r="M11" s="216">
        <f>+L11-K11</f>
        <v>979246.66547943791</v>
      </c>
      <c r="N11" s="217"/>
    </row>
    <row r="12" spans="1:14" x14ac:dyDescent="0.2">
      <c r="A12" s="836" t="s">
        <v>612</v>
      </c>
      <c r="B12" s="837" t="s">
        <v>611</v>
      </c>
      <c r="C12" s="748">
        <v>1083285.96</v>
      </c>
      <c r="D12" s="748">
        <v>1193759.94</v>
      </c>
      <c r="E12" s="748">
        <v>1699085.82</v>
      </c>
      <c r="F12" s="748">
        <v>2146563.33</v>
      </c>
      <c r="G12" s="748">
        <v>2503793.98</v>
      </c>
      <c r="H12" s="748">
        <v>1688582.11</v>
      </c>
      <c r="I12" s="748">
        <v>350299.98</v>
      </c>
      <c r="J12" s="748">
        <v>630500.46</v>
      </c>
      <c r="K12" s="748">
        <v>539439.32999999996</v>
      </c>
      <c r="L12" s="216">
        <f>+'Tab-22 ProfitPlan'!C12</f>
        <v>947808.05616830976</v>
      </c>
      <c r="M12" s="216">
        <f t="shared" ref="M12:M74" si="0">+L12-K12</f>
        <v>408368.7261683098</v>
      </c>
      <c r="N12" s="217"/>
    </row>
    <row r="13" spans="1:14" x14ac:dyDescent="0.2">
      <c r="A13" s="836" t="s">
        <v>610</v>
      </c>
      <c r="B13" s="837" t="s">
        <v>609</v>
      </c>
      <c r="C13" s="748">
        <v>65817.58</v>
      </c>
      <c r="D13" s="748">
        <v>243068.19</v>
      </c>
      <c r="E13" s="748">
        <v>229834</v>
      </c>
      <c r="F13" s="748">
        <v>173079.5</v>
      </c>
      <c r="G13" s="748">
        <v>399582.5</v>
      </c>
      <c r="H13" s="748">
        <v>521472.19</v>
      </c>
      <c r="I13" s="748">
        <v>182505.35</v>
      </c>
      <c r="J13" s="748">
        <v>177571.02</v>
      </c>
      <c r="K13" s="748">
        <v>2465</v>
      </c>
      <c r="L13" s="216">
        <f>+'Tab-22 ProfitPlan'!C13</f>
        <v>4331.0651050506149</v>
      </c>
      <c r="M13" s="216">
        <f t="shared" si="0"/>
        <v>1866.0651050506149</v>
      </c>
      <c r="N13" s="217"/>
    </row>
    <row r="14" spans="1:14" ht="12" thickBot="1" x14ac:dyDescent="0.25">
      <c r="A14" s="836" t="s">
        <v>885</v>
      </c>
      <c r="B14" s="837" t="s">
        <v>534</v>
      </c>
      <c r="C14" s="842">
        <v>0</v>
      </c>
      <c r="D14" s="842">
        <v>0</v>
      </c>
      <c r="E14" s="842">
        <v>0</v>
      </c>
      <c r="F14" s="842">
        <v>0</v>
      </c>
      <c r="G14" s="842">
        <v>0</v>
      </c>
      <c r="H14" s="842"/>
      <c r="I14" s="842"/>
      <c r="J14" s="842">
        <v>0</v>
      </c>
      <c r="K14" s="842">
        <v>504.5</v>
      </c>
      <c r="L14" s="219">
        <f>+'Tab-22 ProfitPlan'!C14</f>
        <v>886.41880141908132</v>
      </c>
      <c r="M14" s="219">
        <f t="shared" si="0"/>
        <v>381.91880141908132</v>
      </c>
      <c r="N14" s="217"/>
    </row>
    <row r="15" spans="1:14" x14ac:dyDescent="0.2">
      <c r="A15" s="220"/>
      <c r="B15" s="221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7"/>
    </row>
    <row r="16" spans="1:14" ht="12" thickBot="1" x14ac:dyDescent="0.25">
      <c r="B16" s="222" t="s">
        <v>608</v>
      </c>
      <c r="C16" s="223">
        <f t="shared" ref="C16:J16" si="1">SUM(C11:C14)</f>
        <v>6082762.1900000004</v>
      </c>
      <c r="D16" s="223">
        <f t="shared" si="1"/>
        <v>5814181.2800000003</v>
      </c>
      <c r="E16" s="223">
        <f t="shared" si="1"/>
        <v>5658875.2400000002</v>
      </c>
      <c r="F16" s="223">
        <f t="shared" si="1"/>
        <v>6804456.4299999997</v>
      </c>
      <c r="G16" s="223">
        <f t="shared" si="1"/>
        <v>7447493.9600000009</v>
      </c>
      <c r="H16" s="223">
        <f t="shared" si="1"/>
        <v>7256574.7500000009</v>
      </c>
      <c r="I16" s="223">
        <f t="shared" si="1"/>
        <v>3827662.5700000003</v>
      </c>
      <c r="J16" s="223">
        <f t="shared" si="1"/>
        <v>3013922.71</v>
      </c>
      <c r="K16" s="223">
        <f t="shared" ref="K16" si="2">SUM(K11:K14)</f>
        <v>1835955.8900000001</v>
      </c>
      <c r="L16" s="223">
        <f>+'Tab-22 ProfitPlan'!C16</f>
        <v>3225819.2655542176</v>
      </c>
      <c r="M16" s="223">
        <f t="shared" si="0"/>
        <v>1389863.3755542175</v>
      </c>
      <c r="N16" s="224"/>
    </row>
    <row r="17" spans="1:14" x14ac:dyDescent="0.2">
      <c r="A17" s="220"/>
      <c r="B17" s="22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</row>
    <row r="18" spans="1:14" x14ac:dyDescent="0.2"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7"/>
    </row>
    <row r="19" spans="1:14" ht="12" thickBot="1" x14ac:dyDescent="0.25">
      <c r="A19" s="211"/>
      <c r="B19" s="212" t="s">
        <v>607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7"/>
    </row>
    <row r="20" spans="1:14" x14ac:dyDescent="0.2">
      <c r="A20" s="836" t="s">
        <v>606</v>
      </c>
      <c r="B20" s="837" t="s">
        <v>605</v>
      </c>
      <c r="C20" s="748">
        <v>940829.81</v>
      </c>
      <c r="D20" s="748">
        <v>1307114.08</v>
      </c>
      <c r="E20" s="748">
        <v>1591752.35</v>
      </c>
      <c r="F20" s="748">
        <v>1621410.44</v>
      </c>
      <c r="G20" s="748">
        <v>1900879.32</v>
      </c>
      <c r="H20" s="748">
        <v>1200764.52</v>
      </c>
      <c r="I20" s="748">
        <v>696170.57</v>
      </c>
      <c r="J20" s="748">
        <v>433633.96</v>
      </c>
      <c r="K20" s="748">
        <v>587794.9</v>
      </c>
      <c r="L20" s="216">
        <f>+'Tab-22 ProfitPlan'!C20</f>
        <v>1022377.6057909128</v>
      </c>
      <c r="M20" s="216">
        <f t="shared" si="0"/>
        <v>434582.70579091273</v>
      </c>
      <c r="N20" s="217"/>
    </row>
    <row r="21" spans="1:14" ht="12" thickBot="1" x14ac:dyDescent="0.25">
      <c r="A21" s="839" t="s">
        <v>604</v>
      </c>
      <c r="B21" s="837" t="s">
        <v>603</v>
      </c>
      <c r="C21" s="842">
        <v>146865.47</v>
      </c>
      <c r="D21" s="842">
        <v>240866.16</v>
      </c>
      <c r="E21" s="842">
        <v>224479.67</v>
      </c>
      <c r="F21" s="842">
        <v>184011.79</v>
      </c>
      <c r="G21" s="842">
        <v>226781.36</v>
      </c>
      <c r="H21" s="842">
        <v>285497.64</v>
      </c>
      <c r="I21" s="842">
        <v>282848.8</v>
      </c>
      <c r="J21" s="842">
        <v>99221.440000000002</v>
      </c>
      <c r="K21" s="842">
        <v>50775.62</v>
      </c>
      <c r="L21" s="219">
        <f>+'Tab-22 ProfitPlan'!C21</f>
        <v>92575.328101206615</v>
      </c>
      <c r="M21" s="219">
        <f t="shared" si="0"/>
        <v>41799.708101206612</v>
      </c>
      <c r="N21" s="217"/>
    </row>
    <row r="22" spans="1:14" x14ac:dyDescent="0.2">
      <c r="A22" s="220"/>
      <c r="B22" s="221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7"/>
    </row>
    <row r="23" spans="1:14" ht="11.25" customHeight="1" thickBot="1" x14ac:dyDescent="0.25">
      <c r="B23" s="222" t="s">
        <v>602</v>
      </c>
      <c r="C23" s="223">
        <f t="shared" ref="C23:J23" si="3">SUM(C20:C21)</f>
        <v>1087695.28</v>
      </c>
      <c r="D23" s="223">
        <f t="shared" si="3"/>
        <v>1547980.24</v>
      </c>
      <c r="E23" s="223">
        <f t="shared" si="3"/>
        <v>1816232.02</v>
      </c>
      <c r="F23" s="223">
        <f t="shared" si="3"/>
        <v>1805422.23</v>
      </c>
      <c r="G23" s="223">
        <f t="shared" si="3"/>
        <v>2127660.6800000002</v>
      </c>
      <c r="H23" s="223">
        <f t="shared" si="3"/>
        <v>1486262.1600000001</v>
      </c>
      <c r="I23" s="223">
        <f t="shared" si="3"/>
        <v>979019.36999999988</v>
      </c>
      <c r="J23" s="223">
        <f t="shared" si="3"/>
        <v>532855.4</v>
      </c>
      <c r="K23" s="223">
        <f t="shared" ref="K23" si="4">SUM(K20:K21)</f>
        <v>638570.52</v>
      </c>
      <c r="L23" s="223">
        <f>+'Tab-22 ProfitPlan'!C23</f>
        <v>1114952.9338921194</v>
      </c>
      <c r="M23" s="223">
        <f t="shared" si="0"/>
        <v>476382.41389211942</v>
      </c>
      <c r="N23" s="224"/>
    </row>
    <row r="24" spans="1:14" x14ac:dyDescent="0.2">
      <c r="A24" s="220"/>
      <c r="B24" s="221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7"/>
    </row>
    <row r="25" spans="1:14" x14ac:dyDescent="0.2"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7"/>
    </row>
    <row r="26" spans="1:14" ht="12" thickBot="1" x14ac:dyDescent="0.25">
      <c r="A26" s="836" t="s">
        <v>601</v>
      </c>
      <c r="B26" s="837" t="s">
        <v>205</v>
      </c>
      <c r="C26" s="748">
        <v>366551.16</v>
      </c>
      <c r="D26" s="748">
        <v>39463.68</v>
      </c>
      <c r="E26" s="748">
        <v>218292.71</v>
      </c>
      <c r="F26" s="748">
        <v>-307310.21000000002</v>
      </c>
      <c r="G26" s="748">
        <v>13625.79</v>
      </c>
      <c r="H26" s="748">
        <v>121619.05</v>
      </c>
      <c r="I26" s="748">
        <v>-100312.44</v>
      </c>
      <c r="J26" s="748">
        <v>-91438.41</v>
      </c>
      <c r="K26" s="748">
        <v>-55927.360000000001</v>
      </c>
      <c r="L26" s="219">
        <f>+'Tab-22 ProfitPlan'!C26</f>
        <v>0</v>
      </c>
      <c r="M26" s="219">
        <f t="shared" si="0"/>
        <v>55927.360000000001</v>
      </c>
      <c r="N26" s="217"/>
    </row>
    <row r="27" spans="1:14" x14ac:dyDescent="0.2"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7"/>
    </row>
    <row r="28" spans="1:14" ht="12" thickBot="1" x14ac:dyDescent="0.25">
      <c r="A28" s="228"/>
      <c r="B28" s="229" t="s">
        <v>39</v>
      </c>
      <c r="C28" s="230">
        <f t="shared" ref="C28:J28" si="5">C26+C23+C16</f>
        <v>7537008.6300000008</v>
      </c>
      <c r="D28" s="230">
        <f t="shared" si="5"/>
        <v>7401625.2000000002</v>
      </c>
      <c r="E28" s="230">
        <f t="shared" si="5"/>
        <v>7693399.9700000007</v>
      </c>
      <c r="F28" s="230">
        <f t="shared" si="5"/>
        <v>8302568.4499999993</v>
      </c>
      <c r="G28" s="230">
        <f t="shared" si="5"/>
        <v>9588780.4300000016</v>
      </c>
      <c r="H28" s="230">
        <f t="shared" si="5"/>
        <v>8864455.9600000009</v>
      </c>
      <c r="I28" s="230">
        <f t="shared" si="5"/>
        <v>4706369.5</v>
      </c>
      <c r="J28" s="230">
        <f t="shared" si="5"/>
        <v>3455339.7</v>
      </c>
      <c r="K28" s="230">
        <f t="shared" ref="K28" si="6">K26+K23+K16</f>
        <v>2418599.0500000003</v>
      </c>
      <c r="L28" s="230">
        <f>+'Tab-22 ProfitPlan'!C28</f>
        <v>4340772.1994463373</v>
      </c>
      <c r="M28" s="230">
        <f t="shared" si="0"/>
        <v>1922173.149446337</v>
      </c>
      <c r="N28" s="224"/>
    </row>
    <row r="29" spans="1:14" s="194" customFormat="1" ht="12" thickTop="1" x14ac:dyDescent="0.2">
      <c r="A29" s="195"/>
      <c r="B29" s="231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32"/>
    </row>
    <row r="30" spans="1:14" x14ac:dyDescent="0.2">
      <c r="B30" s="222" t="s">
        <v>600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</row>
    <row r="31" spans="1:14" ht="12" thickBot="1" x14ac:dyDescent="0.25">
      <c r="A31" s="211"/>
      <c r="B31" s="212" t="s">
        <v>599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7"/>
    </row>
    <row r="32" spans="1:14" x14ac:dyDescent="0.2">
      <c r="A32" s="836" t="s">
        <v>598</v>
      </c>
      <c r="B32" s="837" t="s">
        <v>554</v>
      </c>
      <c r="C32" s="748">
        <v>7045.08</v>
      </c>
      <c r="D32" s="748">
        <v>0</v>
      </c>
      <c r="E32" s="748">
        <v>0</v>
      </c>
      <c r="F32" s="748">
        <v>32222.36</v>
      </c>
      <c r="G32" s="748">
        <v>28735</v>
      </c>
      <c r="H32" s="748">
        <v>25035</v>
      </c>
      <c r="I32" s="748">
        <v>11322</v>
      </c>
      <c r="J32" s="748">
        <v>9695.5</v>
      </c>
      <c r="K32" s="748">
        <v>16812.5</v>
      </c>
      <c r="L32" s="216">
        <f>+'Tab-22 ProfitPlan'!C32</f>
        <v>33370.633621163426</v>
      </c>
      <c r="M32" s="216">
        <f t="shared" si="0"/>
        <v>16558.133621163426</v>
      </c>
      <c r="N32" s="217"/>
    </row>
    <row r="33" spans="1:14" x14ac:dyDescent="0.2">
      <c r="A33" s="836" t="s">
        <v>597</v>
      </c>
      <c r="B33" s="837" t="s">
        <v>552</v>
      </c>
      <c r="C33" s="748">
        <v>159043.9</v>
      </c>
      <c r="D33" s="748">
        <v>216313.75</v>
      </c>
      <c r="E33" s="748">
        <v>226438.75</v>
      </c>
      <c r="F33" s="748">
        <v>292903.75</v>
      </c>
      <c r="G33" s="748">
        <v>275272.5</v>
      </c>
      <c r="H33" s="748">
        <v>165845.5</v>
      </c>
      <c r="I33" s="748">
        <v>140226.25</v>
      </c>
      <c r="J33" s="748">
        <v>77366.25</v>
      </c>
      <c r="K33" s="748">
        <v>0</v>
      </c>
      <c r="L33" s="216">
        <f>+'Tab-22 ProfitPlan'!C33</f>
        <v>0</v>
      </c>
      <c r="M33" s="216">
        <f t="shared" si="0"/>
        <v>0</v>
      </c>
      <c r="N33" s="217"/>
    </row>
    <row r="34" spans="1:14" x14ac:dyDescent="0.2">
      <c r="A34" s="836" t="s">
        <v>596</v>
      </c>
      <c r="B34" s="837" t="s">
        <v>550</v>
      </c>
      <c r="C34" s="748">
        <v>406477.5</v>
      </c>
      <c r="D34" s="748">
        <v>372333.11</v>
      </c>
      <c r="E34" s="748">
        <v>533507.5</v>
      </c>
      <c r="F34" s="748">
        <v>657700.75</v>
      </c>
      <c r="G34" s="748">
        <v>838273.52</v>
      </c>
      <c r="H34" s="748">
        <v>684527.5</v>
      </c>
      <c r="I34" s="748">
        <v>305277.5</v>
      </c>
      <c r="J34" s="748">
        <v>164070</v>
      </c>
      <c r="K34" s="748">
        <v>100258.75</v>
      </c>
      <c r="L34" s="216">
        <f>+'Tab-22 ProfitPlan'!C34</f>
        <v>199000.62534220479</v>
      </c>
      <c r="M34" s="216">
        <f t="shared" si="0"/>
        <v>98741.875342204788</v>
      </c>
      <c r="N34" s="217"/>
    </row>
    <row r="35" spans="1:14" x14ac:dyDescent="0.2">
      <c r="A35" s="836" t="s">
        <v>595</v>
      </c>
      <c r="B35" s="837" t="s">
        <v>548</v>
      </c>
      <c r="C35" s="748">
        <v>600</v>
      </c>
      <c r="D35" s="748">
        <v>0</v>
      </c>
      <c r="E35" s="748">
        <v>0</v>
      </c>
      <c r="F35" s="748">
        <v>0</v>
      </c>
      <c r="G35" s="748">
        <v>61425</v>
      </c>
      <c r="H35" s="748">
        <v>-11712.5</v>
      </c>
      <c r="I35" s="748">
        <v>16640</v>
      </c>
      <c r="J35" s="748">
        <v>2910</v>
      </c>
      <c r="K35" s="748">
        <v>351155.79</v>
      </c>
      <c r="L35" s="216">
        <f>+'Tab-22 ProfitPlan'!C35</f>
        <v>696998.73380164779</v>
      </c>
      <c r="M35" s="216">
        <f t="shared" si="0"/>
        <v>345842.94380164781</v>
      </c>
      <c r="N35" s="217"/>
    </row>
    <row r="36" spans="1:14" x14ac:dyDescent="0.2">
      <c r="A36" s="836" t="s">
        <v>594</v>
      </c>
      <c r="B36" s="837" t="s">
        <v>546</v>
      </c>
      <c r="C36" s="748">
        <v>102554.53</v>
      </c>
      <c r="D36" s="748">
        <v>338784.87</v>
      </c>
      <c r="E36" s="748">
        <v>162943.1</v>
      </c>
      <c r="F36" s="748">
        <v>69443.59</v>
      </c>
      <c r="G36" s="748">
        <v>66693.02</v>
      </c>
      <c r="H36" s="748">
        <v>-26826.6</v>
      </c>
      <c r="I36" s="748">
        <v>10380</v>
      </c>
      <c r="J36" s="748">
        <v>5059.95</v>
      </c>
      <c r="K36" s="748">
        <v>1721.14</v>
      </c>
      <c r="L36" s="216">
        <f>+'Tab-22 ProfitPlan'!C36</f>
        <v>3416.2398424225557</v>
      </c>
      <c r="M36" s="216">
        <f t="shared" si="0"/>
        <v>1695.0998424225556</v>
      </c>
      <c r="N36" s="217"/>
    </row>
    <row r="37" spans="1:14" x14ac:dyDescent="0.2">
      <c r="A37" s="836" t="s">
        <v>593</v>
      </c>
      <c r="B37" s="837" t="s">
        <v>592</v>
      </c>
      <c r="C37" s="748"/>
      <c r="D37" s="748"/>
      <c r="E37" s="748">
        <v>5250</v>
      </c>
      <c r="F37" s="748">
        <v>4715.79</v>
      </c>
      <c r="G37" s="748">
        <v>0</v>
      </c>
      <c r="H37" s="748">
        <v>3919.15</v>
      </c>
      <c r="I37" s="748">
        <v>-2500</v>
      </c>
      <c r="J37" s="748">
        <v>985</v>
      </c>
      <c r="K37" s="748">
        <v>0</v>
      </c>
      <c r="L37" s="216">
        <f>+'Tab-22 ProfitPlan'!C37</f>
        <v>0</v>
      </c>
      <c r="M37" s="216">
        <f t="shared" si="0"/>
        <v>0</v>
      </c>
      <c r="N37" s="217"/>
    </row>
    <row r="38" spans="1:14" x14ac:dyDescent="0.2">
      <c r="A38" s="836" t="s">
        <v>591</v>
      </c>
      <c r="B38" s="837" t="s">
        <v>542</v>
      </c>
      <c r="C38" s="748">
        <v>200</v>
      </c>
      <c r="D38" s="748">
        <v>43015.99</v>
      </c>
      <c r="E38" s="748">
        <v>152781.53</v>
      </c>
      <c r="F38" s="748">
        <v>148457.35</v>
      </c>
      <c r="G38" s="748">
        <v>35337.69</v>
      </c>
      <c r="H38" s="748">
        <v>18537</v>
      </c>
      <c r="I38" s="748">
        <v>1436.74</v>
      </c>
      <c r="J38" s="748">
        <v>12813.26</v>
      </c>
      <c r="K38" s="748">
        <v>2295</v>
      </c>
      <c r="L38" s="216">
        <f>+'Tab-22 ProfitPlan'!C38</f>
        <v>4555.2775708889249</v>
      </c>
      <c r="M38" s="216">
        <f t="shared" si="0"/>
        <v>2260.2775708889249</v>
      </c>
      <c r="N38" s="217"/>
    </row>
    <row r="39" spans="1:14" x14ac:dyDescent="0.2">
      <c r="A39" s="836" t="s">
        <v>590</v>
      </c>
      <c r="B39" s="837" t="s">
        <v>540</v>
      </c>
      <c r="C39" s="748">
        <v>5455</v>
      </c>
      <c r="D39" s="748">
        <v>9622.5</v>
      </c>
      <c r="E39" s="748">
        <v>3205</v>
      </c>
      <c r="F39" s="748">
        <v>0</v>
      </c>
      <c r="G39" s="748">
        <v>3348.2</v>
      </c>
      <c r="H39" s="748">
        <v>80453.17</v>
      </c>
      <c r="I39" s="748"/>
      <c r="J39" s="748">
        <v>0</v>
      </c>
      <c r="K39" s="748">
        <v>392.14</v>
      </c>
      <c r="L39" s="216">
        <f>+'Tab-22 ProfitPlan'!C39</f>
        <v>778.34707914962223</v>
      </c>
      <c r="M39" s="216">
        <f t="shared" si="0"/>
        <v>386.20707914962225</v>
      </c>
      <c r="N39" s="217"/>
    </row>
    <row r="40" spans="1:14" x14ac:dyDescent="0.2">
      <c r="A40" s="836" t="s">
        <v>589</v>
      </c>
      <c r="B40" s="837" t="s">
        <v>538</v>
      </c>
      <c r="C40" s="748">
        <v>125605.75</v>
      </c>
      <c r="D40" s="748">
        <v>119734.85</v>
      </c>
      <c r="E40" s="748">
        <v>162562.4</v>
      </c>
      <c r="F40" s="748">
        <v>158529.79999999999</v>
      </c>
      <c r="G40" s="748">
        <v>171683</v>
      </c>
      <c r="H40" s="748">
        <v>73610.86</v>
      </c>
      <c r="I40" s="748">
        <v>58425</v>
      </c>
      <c r="J40" s="748">
        <v>36230</v>
      </c>
      <c r="K40" s="748">
        <v>41260</v>
      </c>
      <c r="L40" s="216">
        <f>+'Tab-22 ProfitPlan'!C40</f>
        <v>81895.752755937719</v>
      </c>
      <c r="M40" s="216">
        <f t="shared" si="0"/>
        <v>40635.752755937719</v>
      </c>
      <c r="N40" s="217"/>
    </row>
    <row r="41" spans="1:14" x14ac:dyDescent="0.2">
      <c r="A41" s="836" t="s">
        <v>588</v>
      </c>
      <c r="B41" s="837" t="s">
        <v>536</v>
      </c>
      <c r="C41" s="748">
        <v>4263.6000000000004</v>
      </c>
      <c r="D41" s="748">
        <v>0</v>
      </c>
      <c r="E41" s="748">
        <v>0</v>
      </c>
      <c r="F41" s="748">
        <v>5350</v>
      </c>
      <c r="G41" s="748">
        <v>6488.91</v>
      </c>
      <c r="H41" s="748">
        <v>1332</v>
      </c>
      <c r="I41" s="748">
        <v>815</v>
      </c>
      <c r="J41" s="748">
        <v>0</v>
      </c>
      <c r="K41" s="748">
        <v>0</v>
      </c>
      <c r="L41" s="216">
        <f>+'Tab-22 ProfitPlan'!C41</f>
        <v>0</v>
      </c>
      <c r="M41" s="216">
        <f t="shared" si="0"/>
        <v>0</v>
      </c>
      <c r="N41" s="217"/>
    </row>
    <row r="42" spans="1:14" s="59" customFormat="1" x14ac:dyDescent="0.2">
      <c r="A42" s="836" t="s">
        <v>587</v>
      </c>
      <c r="B42" s="837" t="s">
        <v>534</v>
      </c>
      <c r="C42" s="748">
        <v>0</v>
      </c>
      <c r="D42" s="748">
        <v>3700</v>
      </c>
      <c r="E42" s="748">
        <v>-1200</v>
      </c>
      <c r="F42" s="748">
        <v>3190</v>
      </c>
      <c r="G42" s="748">
        <v>400</v>
      </c>
      <c r="H42" s="748">
        <v>1947.5</v>
      </c>
      <c r="I42" s="748">
        <v>11589.3</v>
      </c>
      <c r="J42" s="748">
        <v>0</v>
      </c>
      <c r="K42" s="748">
        <v>1190</v>
      </c>
      <c r="L42" s="217">
        <f>+'Tab-22 ProfitPlan'!C42</f>
        <v>2361.9957774979612</v>
      </c>
      <c r="M42" s="217">
        <f t="shared" si="0"/>
        <v>1171.9957774979612</v>
      </c>
      <c r="N42" s="217"/>
    </row>
    <row r="43" spans="1:14" s="59" customFormat="1" x14ac:dyDescent="0.2">
      <c r="A43" s="836" t="s">
        <v>586</v>
      </c>
      <c r="B43" s="837" t="s">
        <v>530</v>
      </c>
      <c r="C43" s="748"/>
      <c r="D43" s="748">
        <v>325</v>
      </c>
      <c r="E43" s="748">
        <v>0</v>
      </c>
      <c r="F43" s="748">
        <v>0</v>
      </c>
      <c r="G43" s="748">
        <v>0</v>
      </c>
      <c r="H43" s="748"/>
      <c r="I43" s="748"/>
      <c r="J43" s="748">
        <v>0</v>
      </c>
      <c r="K43" s="748">
        <v>0</v>
      </c>
      <c r="L43" s="217">
        <f>+'Tab-22 ProfitPlan'!C43</f>
        <v>0</v>
      </c>
      <c r="M43" s="217">
        <f t="shared" si="0"/>
        <v>0</v>
      </c>
      <c r="N43" s="217"/>
    </row>
    <row r="44" spans="1:14" x14ac:dyDescent="0.2">
      <c r="A44" s="209"/>
      <c r="B44" s="210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7"/>
    </row>
    <row r="45" spans="1:14" ht="12" thickBot="1" x14ac:dyDescent="0.25">
      <c r="A45" s="236"/>
      <c r="B45" s="237" t="s">
        <v>585</v>
      </c>
      <c r="C45" s="238">
        <f t="shared" ref="C45" si="7">SUM(C31:C44)</f>
        <v>811245.36</v>
      </c>
      <c r="D45" s="238">
        <f t="shared" ref="D45" si="8">SUM(D31:D44)</f>
        <v>1103830.07</v>
      </c>
      <c r="E45" s="238">
        <f t="shared" ref="E45" si="9">SUM(E31:E44)</f>
        <v>1245488.2799999998</v>
      </c>
      <c r="F45" s="238">
        <f t="shared" ref="F45" si="10">SUM(F31:F44)</f>
        <v>1372513.3900000001</v>
      </c>
      <c r="G45" s="238">
        <f t="shared" ref="G45" si="11">SUM(G31:G44)</f>
        <v>1487656.8399999999</v>
      </c>
      <c r="H45" s="238">
        <f t="shared" ref="H45" si="12">SUM(H31:H44)</f>
        <v>1016668.5800000001</v>
      </c>
      <c r="I45" s="238">
        <f t="shared" ref="I45" si="13">SUM(I31:I44)</f>
        <v>553611.79</v>
      </c>
      <c r="J45" s="238">
        <f t="shared" ref="J45" si="14">SUM(J31:J44)</f>
        <v>309129.96000000002</v>
      </c>
      <c r="K45" s="238">
        <f t="shared" ref="K45" si="15">SUM(K31:K44)</f>
        <v>515085.32</v>
      </c>
      <c r="L45" s="238">
        <f>+'Tab-22 ProfitPlan'!C45</f>
        <v>1022377.6057909128</v>
      </c>
      <c r="M45" s="238">
        <f t="shared" si="0"/>
        <v>507292.28579091275</v>
      </c>
      <c r="N45" s="224"/>
    </row>
    <row r="46" spans="1:14" x14ac:dyDescent="0.2">
      <c r="A46" s="239"/>
      <c r="B46" s="204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7"/>
    </row>
    <row r="47" spans="1:14" x14ac:dyDescent="0.2">
      <c r="A47" s="239"/>
      <c r="B47" s="240" t="s">
        <v>943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8" spans="1:14" x14ac:dyDescent="0.2">
      <c r="A48" s="836" t="s">
        <v>584</v>
      </c>
      <c r="B48" s="837" t="s">
        <v>433</v>
      </c>
      <c r="C48" s="748">
        <v>11717.45</v>
      </c>
      <c r="D48" s="748">
        <v>20687.830000000002</v>
      </c>
      <c r="E48" s="748">
        <v>13539.5</v>
      </c>
      <c r="F48" s="748">
        <v>14517.97</v>
      </c>
      <c r="G48" s="748">
        <v>14132.22</v>
      </c>
      <c r="H48" s="748">
        <v>20718.669999999998</v>
      </c>
      <c r="I48" s="748">
        <v>5204.54</v>
      </c>
      <c r="J48" s="748">
        <v>3123.71</v>
      </c>
      <c r="K48" s="748">
        <v>2608.36</v>
      </c>
      <c r="L48" s="216">
        <f>+'Tab-22 ProfitPlan'!C48</f>
        <v>5177.2565598273795</v>
      </c>
      <c r="M48" s="216">
        <f t="shared" si="0"/>
        <v>2568.8965598273794</v>
      </c>
      <c r="N48" s="217"/>
    </row>
    <row r="49" spans="1:14" x14ac:dyDescent="0.2">
      <c r="A49" s="836" t="s">
        <v>583</v>
      </c>
      <c r="B49" s="837" t="s">
        <v>582</v>
      </c>
      <c r="C49" s="748">
        <v>4603.82</v>
      </c>
      <c r="D49" s="748">
        <v>5640.23</v>
      </c>
      <c r="E49" s="748">
        <v>3305.64</v>
      </c>
      <c r="F49" s="748">
        <v>728.87</v>
      </c>
      <c r="G49" s="748">
        <v>2799.73</v>
      </c>
      <c r="H49" s="748">
        <v>5571.41</v>
      </c>
      <c r="I49" s="748">
        <v>1560.76</v>
      </c>
      <c r="J49" s="748">
        <v>632.76</v>
      </c>
      <c r="K49" s="748">
        <v>118.71</v>
      </c>
      <c r="L49" s="216">
        <f>+'Tab-22 ProfitPlan'!C49</f>
        <v>235.62396533343104</v>
      </c>
      <c r="M49" s="216">
        <f t="shared" si="0"/>
        <v>116.91396533343105</v>
      </c>
      <c r="N49" s="217"/>
    </row>
    <row r="50" spans="1:14" x14ac:dyDescent="0.2">
      <c r="A50" s="836" t="s">
        <v>581</v>
      </c>
      <c r="B50" s="837" t="s">
        <v>429</v>
      </c>
      <c r="C50" s="748">
        <v>43256.31</v>
      </c>
      <c r="D50" s="748">
        <v>72921.88</v>
      </c>
      <c r="E50" s="748">
        <v>52237.83</v>
      </c>
      <c r="F50" s="748">
        <v>39849.26</v>
      </c>
      <c r="G50" s="748">
        <v>70696.87</v>
      </c>
      <c r="H50" s="748">
        <v>54425.86</v>
      </c>
      <c r="I50" s="748">
        <v>11398.56</v>
      </c>
      <c r="J50" s="748">
        <v>3854.85</v>
      </c>
      <c r="K50" s="748">
        <v>5280.7</v>
      </c>
      <c r="L50" s="216">
        <f>+'Tab-22 ProfitPlan'!C50</f>
        <v>10481.505127927296</v>
      </c>
      <c r="M50" s="216">
        <f t="shared" si="0"/>
        <v>5200.8051279272959</v>
      </c>
      <c r="N50" s="216"/>
    </row>
    <row r="51" spans="1:14" x14ac:dyDescent="0.2">
      <c r="A51" s="836" t="s">
        <v>580</v>
      </c>
      <c r="B51" s="837" t="s">
        <v>579</v>
      </c>
      <c r="C51" s="748">
        <v>31</v>
      </c>
      <c r="D51" s="748">
        <v>284.5</v>
      </c>
      <c r="E51" s="748">
        <v>455</v>
      </c>
      <c r="F51" s="748">
        <v>373</v>
      </c>
      <c r="G51" s="748">
        <v>487.5</v>
      </c>
      <c r="H51" s="748">
        <v>390.75</v>
      </c>
      <c r="I51" s="748">
        <v>124</v>
      </c>
      <c r="J51" s="748">
        <v>27</v>
      </c>
      <c r="K51" s="748">
        <v>0</v>
      </c>
      <c r="L51" s="216">
        <f>+'Tab-22 ProfitPlan'!C51</f>
        <v>0</v>
      </c>
      <c r="M51" s="216">
        <f t="shared" si="0"/>
        <v>0</v>
      </c>
      <c r="N51" s="216"/>
    </row>
    <row r="52" spans="1:14" x14ac:dyDescent="0.2">
      <c r="A52" s="836" t="s">
        <v>578</v>
      </c>
      <c r="B52" s="837" t="s">
        <v>425</v>
      </c>
      <c r="C52" s="748">
        <v>16424.29</v>
      </c>
      <c r="D52" s="748">
        <v>369.87</v>
      </c>
      <c r="E52" s="748">
        <v>11203.7</v>
      </c>
      <c r="F52" s="748">
        <v>40922.89</v>
      </c>
      <c r="G52" s="748">
        <v>34786.81</v>
      </c>
      <c r="H52" s="748">
        <v>16084.7</v>
      </c>
      <c r="I52" s="748">
        <v>4156.95</v>
      </c>
      <c r="J52" s="748">
        <v>0</v>
      </c>
      <c r="K52" s="748">
        <v>0</v>
      </c>
      <c r="L52" s="216">
        <f>+'Tab-22 ProfitPlan'!C52</f>
        <v>0</v>
      </c>
      <c r="M52" s="216">
        <f t="shared" si="0"/>
        <v>0</v>
      </c>
      <c r="N52" s="216"/>
    </row>
    <row r="53" spans="1:14" x14ac:dyDescent="0.2">
      <c r="A53" s="836" t="s">
        <v>577</v>
      </c>
      <c r="B53" s="837" t="s">
        <v>419</v>
      </c>
      <c r="C53" s="748">
        <v>7718.01</v>
      </c>
      <c r="D53" s="748">
        <v>13127.18</v>
      </c>
      <c r="E53" s="748">
        <v>10215.969999999999</v>
      </c>
      <c r="F53" s="748">
        <v>13654.31</v>
      </c>
      <c r="G53" s="748">
        <v>12383</v>
      </c>
      <c r="H53" s="748">
        <v>20268.650000000001</v>
      </c>
      <c r="I53" s="748">
        <v>12586.91</v>
      </c>
      <c r="J53" s="748">
        <v>3136.11</v>
      </c>
      <c r="K53" s="748">
        <v>2811.44</v>
      </c>
      <c r="L53" s="216">
        <f>+'Tab-22 ProfitPlan'!C53</f>
        <v>5580.3440409150153</v>
      </c>
      <c r="M53" s="216">
        <f t="shared" si="0"/>
        <v>2768.9040409150152</v>
      </c>
      <c r="N53" s="216"/>
    </row>
    <row r="54" spans="1:14" x14ac:dyDescent="0.2">
      <c r="A54" s="836" t="s">
        <v>576</v>
      </c>
      <c r="B54" s="837" t="s">
        <v>516</v>
      </c>
      <c r="C54" s="748">
        <v>66.14</v>
      </c>
      <c r="D54" s="748">
        <v>1228.2</v>
      </c>
      <c r="E54" s="748">
        <v>756.45</v>
      </c>
      <c r="F54" s="748">
        <v>916.08</v>
      </c>
      <c r="G54" s="748">
        <v>1623.84</v>
      </c>
      <c r="H54" s="748">
        <v>6322.24</v>
      </c>
      <c r="I54" s="748">
        <v>3668.85</v>
      </c>
      <c r="J54" s="748">
        <v>438.13</v>
      </c>
      <c r="K54" s="748">
        <v>65.08</v>
      </c>
      <c r="L54" s="216">
        <f>+'Tab-22 ProfitPlan'!C54</f>
        <v>129.1753657139221</v>
      </c>
      <c r="M54" s="216">
        <f t="shared" si="0"/>
        <v>64.095365713922106</v>
      </c>
      <c r="N54" s="216"/>
    </row>
    <row r="55" spans="1:14" x14ac:dyDescent="0.2">
      <c r="A55" s="836" t="s">
        <v>575</v>
      </c>
      <c r="B55" s="837" t="s">
        <v>417</v>
      </c>
      <c r="C55" s="748">
        <v>3424.55</v>
      </c>
      <c r="D55" s="748">
        <v>1790.14</v>
      </c>
      <c r="E55" s="748">
        <v>2485.9499999999998</v>
      </c>
      <c r="F55" s="748">
        <v>2313.88</v>
      </c>
      <c r="G55" s="748">
        <v>1554.68</v>
      </c>
      <c r="H55" s="748">
        <v>2957.73</v>
      </c>
      <c r="I55" s="748">
        <v>3735.34</v>
      </c>
      <c r="J55" s="748">
        <v>4743.58</v>
      </c>
      <c r="K55" s="748">
        <v>701.65</v>
      </c>
      <c r="L55" s="216">
        <f>+'Tab-22 ProfitPlan'!C55</f>
        <v>1392.6843170432305</v>
      </c>
      <c r="M55" s="216">
        <f t="shared" si="0"/>
        <v>691.03431704323054</v>
      </c>
      <c r="N55" s="216"/>
    </row>
    <row r="56" spans="1:14" x14ac:dyDescent="0.2">
      <c r="A56" s="836" t="s">
        <v>574</v>
      </c>
      <c r="B56" s="837" t="s">
        <v>408</v>
      </c>
      <c r="C56" s="748">
        <v>1179.78</v>
      </c>
      <c r="D56" s="748">
        <v>1821.15</v>
      </c>
      <c r="E56" s="748">
        <v>617.13</v>
      </c>
      <c r="F56" s="748">
        <v>3516.36</v>
      </c>
      <c r="G56" s="748">
        <v>1646.3</v>
      </c>
      <c r="H56" s="748">
        <v>757.61</v>
      </c>
      <c r="I56" s="748">
        <v>436.22</v>
      </c>
      <c r="J56" s="748">
        <v>593.76</v>
      </c>
      <c r="K56" s="748">
        <v>164.3</v>
      </c>
      <c r="L56" s="216">
        <f>+'Tab-22 ProfitPlan'!C56</f>
        <v>326.11420692681935</v>
      </c>
      <c r="M56" s="216">
        <f t="shared" si="0"/>
        <v>161.81420692681934</v>
      </c>
      <c r="N56" s="216"/>
    </row>
    <row r="57" spans="1:14" ht="12" thickBot="1" x14ac:dyDescent="0.25">
      <c r="A57" s="226"/>
      <c r="B57" s="227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6"/>
    </row>
    <row r="58" spans="1:14" ht="12" thickBot="1" x14ac:dyDescent="0.25">
      <c r="A58" s="241"/>
      <c r="B58" s="242" t="s">
        <v>944</v>
      </c>
      <c r="C58" s="243">
        <f t="shared" ref="C58:J58" si="16">SUM(C47:C57)</f>
        <v>88421.349999999991</v>
      </c>
      <c r="D58" s="243">
        <f t="shared" si="16"/>
        <v>117870.97999999998</v>
      </c>
      <c r="E58" s="243">
        <f t="shared" si="16"/>
        <v>94817.17</v>
      </c>
      <c r="F58" s="243">
        <f t="shared" si="16"/>
        <v>116792.62000000001</v>
      </c>
      <c r="G58" s="243">
        <f t="shared" si="16"/>
        <v>140110.94999999998</v>
      </c>
      <c r="H58" s="243">
        <f t="shared" si="16"/>
        <v>127497.62000000001</v>
      </c>
      <c r="I58" s="243">
        <f t="shared" si="16"/>
        <v>42872.130000000005</v>
      </c>
      <c r="J58" s="243">
        <f t="shared" si="16"/>
        <v>16549.899999999998</v>
      </c>
      <c r="K58" s="243">
        <f>SUM(K47:K57)</f>
        <v>11750.24</v>
      </c>
      <c r="L58" s="243">
        <f>+'Tab-22 ProfitPlan'!C58</f>
        <v>23322.703583687096</v>
      </c>
      <c r="M58" s="243">
        <f t="shared" si="0"/>
        <v>11572.463583687097</v>
      </c>
      <c r="N58" s="216"/>
    </row>
    <row r="59" spans="1:14" x14ac:dyDescent="0.2">
      <c r="A59" s="214"/>
      <c r="B59" s="215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</row>
    <row r="60" spans="1:14" x14ac:dyDescent="0.2">
      <c r="A60" s="214"/>
      <c r="B60" s="244" t="s">
        <v>945</v>
      </c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</row>
    <row r="61" spans="1:14" x14ac:dyDescent="0.2">
      <c r="A61" s="836" t="s">
        <v>573</v>
      </c>
      <c r="B61" s="837" t="s">
        <v>572</v>
      </c>
      <c r="C61" s="748">
        <v>15036.56</v>
      </c>
      <c r="D61" s="748">
        <v>34108.35</v>
      </c>
      <c r="E61" s="748">
        <v>6140.16</v>
      </c>
      <c r="F61" s="748">
        <v>4365.41</v>
      </c>
      <c r="G61" s="748">
        <v>8043.6</v>
      </c>
      <c r="H61" s="748">
        <v>740.89</v>
      </c>
      <c r="I61" s="748">
        <v>-42.16</v>
      </c>
      <c r="J61" s="748">
        <v>8646.84</v>
      </c>
      <c r="K61" s="748">
        <v>14648.4</v>
      </c>
      <c r="L61" s="216">
        <f>+'Tab-22 ProfitPlan'!C61</f>
        <v>29075.175585799268</v>
      </c>
      <c r="M61" s="216">
        <f t="shared" si="0"/>
        <v>14426.775585799269</v>
      </c>
      <c r="N61" s="216"/>
    </row>
    <row r="62" spans="1:14" x14ac:dyDescent="0.2">
      <c r="A62" s="836" t="s">
        <v>571</v>
      </c>
      <c r="B62" s="837" t="s">
        <v>508</v>
      </c>
      <c r="C62" s="748">
        <v>4313.6099999999997</v>
      </c>
      <c r="D62" s="748">
        <v>22318.65</v>
      </c>
      <c r="E62" s="748">
        <v>22155.5</v>
      </c>
      <c r="F62" s="748">
        <v>18855.5</v>
      </c>
      <c r="G62" s="748">
        <v>33931.25</v>
      </c>
      <c r="H62" s="748">
        <v>21930.48</v>
      </c>
      <c r="I62" s="748">
        <v>9214.35</v>
      </c>
      <c r="J62" s="748">
        <v>3581.09</v>
      </c>
      <c r="K62" s="748">
        <v>733</v>
      </c>
      <c r="L62" s="216">
        <f>+'Tab-22 ProfitPlan'!C62</f>
        <v>1454.9100041226934</v>
      </c>
      <c r="M62" s="216">
        <f t="shared" si="0"/>
        <v>721.91000412269341</v>
      </c>
      <c r="N62" s="216"/>
    </row>
    <row r="63" spans="1:14" x14ac:dyDescent="0.2">
      <c r="A63" s="836" t="s">
        <v>570</v>
      </c>
      <c r="B63" s="837" t="s">
        <v>361</v>
      </c>
      <c r="C63" s="748">
        <v>513.45000000000005</v>
      </c>
      <c r="D63" s="748">
        <v>111.37</v>
      </c>
      <c r="E63" s="748">
        <v>4812.1400000000003</v>
      </c>
      <c r="F63" s="748">
        <v>887.67</v>
      </c>
      <c r="G63" s="748">
        <v>140.27000000000001</v>
      </c>
      <c r="H63" s="748">
        <v>78.540000000000006</v>
      </c>
      <c r="I63" s="748"/>
      <c r="J63" s="748">
        <v>278</v>
      </c>
      <c r="K63" s="748">
        <v>0</v>
      </c>
      <c r="L63" s="216">
        <f>+'Tab-22 ProfitPlan'!C63</f>
        <v>0</v>
      </c>
      <c r="M63" s="216">
        <f t="shared" si="0"/>
        <v>0</v>
      </c>
      <c r="N63" s="216"/>
    </row>
    <row r="64" spans="1:14" x14ac:dyDescent="0.2">
      <c r="A64" s="836" t="s">
        <v>569</v>
      </c>
      <c r="B64" s="837" t="s">
        <v>359</v>
      </c>
      <c r="C64" s="748">
        <v>20112.04</v>
      </c>
      <c r="D64" s="748">
        <v>31241.16</v>
      </c>
      <c r="E64" s="748">
        <v>28812.92</v>
      </c>
      <c r="F64" s="748">
        <v>14662.67</v>
      </c>
      <c r="G64" s="748">
        <v>26390.16</v>
      </c>
      <c r="H64" s="748">
        <v>36985.89</v>
      </c>
      <c r="I64" s="748">
        <v>14066.71</v>
      </c>
      <c r="J64" s="748">
        <v>5682.23</v>
      </c>
      <c r="K64" s="748">
        <v>4021.91</v>
      </c>
      <c r="L64" s="216">
        <f>+'Tab-22 ProfitPlan'!C64</f>
        <v>7982.970115526743</v>
      </c>
      <c r="M64" s="216">
        <f t="shared" si="0"/>
        <v>3961.0601155267432</v>
      </c>
      <c r="N64" s="216"/>
    </row>
    <row r="65" spans="1:14" x14ac:dyDescent="0.2">
      <c r="A65" s="836" t="s">
        <v>568</v>
      </c>
      <c r="B65" s="837" t="s">
        <v>567</v>
      </c>
      <c r="C65" s="748">
        <v>8089.95</v>
      </c>
      <c r="D65" s="748">
        <v>20618.810000000001</v>
      </c>
      <c r="E65" s="748">
        <v>41267.440000000002</v>
      </c>
      <c r="F65" s="748">
        <v>21690.74</v>
      </c>
      <c r="G65" s="748">
        <v>17361.490000000002</v>
      </c>
      <c r="H65" s="748">
        <v>32666.6</v>
      </c>
      <c r="I65" s="748">
        <v>19795.13</v>
      </c>
      <c r="J65" s="748">
        <v>23483.88</v>
      </c>
      <c r="K65" s="748">
        <v>11676.97</v>
      </c>
      <c r="L65" s="216">
        <f>+'Tab-22 ProfitPlan'!C65</f>
        <v>23177.27212938686</v>
      </c>
      <c r="M65" s="216">
        <f t="shared" si="0"/>
        <v>11500.302129386861</v>
      </c>
      <c r="N65" s="216"/>
    </row>
    <row r="66" spans="1:14" x14ac:dyDescent="0.2">
      <c r="A66" s="836" t="s">
        <v>566</v>
      </c>
      <c r="B66" s="837" t="s">
        <v>565</v>
      </c>
      <c r="C66" s="748">
        <v>11263.37</v>
      </c>
      <c r="D66" s="748">
        <v>4188.1099999999997</v>
      </c>
      <c r="E66" s="748">
        <v>3179.02</v>
      </c>
      <c r="F66" s="748">
        <v>638.97</v>
      </c>
      <c r="G66" s="748">
        <v>4294.29</v>
      </c>
      <c r="H66" s="748">
        <v>8900.91</v>
      </c>
      <c r="I66" s="748">
        <v>2865.12</v>
      </c>
      <c r="J66" s="748">
        <v>1154.8</v>
      </c>
      <c r="K66" s="748">
        <v>3549.23</v>
      </c>
      <c r="L66" s="216">
        <f>+'Tab-22 ProfitPlan'!C66</f>
        <v>7044.7615742597382</v>
      </c>
      <c r="M66" s="216">
        <f t="shared" si="0"/>
        <v>3495.5315742597381</v>
      </c>
      <c r="N66" s="216"/>
    </row>
    <row r="67" spans="1:14" x14ac:dyDescent="0.2">
      <c r="A67" s="836" t="s">
        <v>564</v>
      </c>
      <c r="B67" s="837" t="s">
        <v>498</v>
      </c>
      <c r="C67" s="713"/>
      <c r="D67" s="713"/>
      <c r="E67" s="713">
        <v>116.31</v>
      </c>
      <c r="F67" s="713">
        <v>1.78</v>
      </c>
      <c r="G67" s="713">
        <v>0</v>
      </c>
      <c r="H67" s="713"/>
      <c r="I67" s="713"/>
      <c r="J67" s="713">
        <v>0</v>
      </c>
      <c r="K67" s="713">
        <v>0</v>
      </c>
      <c r="L67" s="245">
        <f>+'Tab-22 ProfitPlan'!C67</f>
        <v>0</v>
      </c>
      <c r="M67" s="245">
        <f t="shared" si="0"/>
        <v>0</v>
      </c>
    </row>
    <row r="68" spans="1:14" x14ac:dyDescent="0.2">
      <c r="A68" s="836" t="s">
        <v>563</v>
      </c>
      <c r="B68" s="837" t="s">
        <v>562</v>
      </c>
      <c r="C68" s="748"/>
      <c r="D68" s="748"/>
      <c r="E68" s="748">
        <v>1362.3</v>
      </c>
      <c r="F68" s="748">
        <v>359.4</v>
      </c>
      <c r="G68" s="748">
        <v>0</v>
      </c>
      <c r="H68" s="748"/>
      <c r="I68" s="748"/>
      <c r="J68" s="748">
        <v>0</v>
      </c>
      <c r="K68" s="748">
        <v>0</v>
      </c>
      <c r="L68" s="216">
        <f>+'Tab-22 ProfitPlan'!C68</f>
        <v>0</v>
      </c>
      <c r="M68" s="216">
        <f t="shared" si="0"/>
        <v>0</v>
      </c>
      <c r="N68" s="216"/>
    </row>
    <row r="69" spans="1:14" s="59" customFormat="1" x14ac:dyDescent="0.2">
      <c r="A69" s="836" t="s">
        <v>561</v>
      </c>
      <c r="B69" s="837" t="s">
        <v>353</v>
      </c>
      <c r="C69" s="748">
        <v>10.25</v>
      </c>
      <c r="D69" s="748">
        <v>89.36</v>
      </c>
      <c r="E69" s="748">
        <v>-56.47</v>
      </c>
      <c r="F69" s="748">
        <v>861.93</v>
      </c>
      <c r="G69" s="748">
        <v>2501.39</v>
      </c>
      <c r="H69" s="748">
        <v>224.86</v>
      </c>
      <c r="I69" s="748">
        <v>181012.33</v>
      </c>
      <c r="J69" s="748">
        <v>34252.14</v>
      </c>
      <c r="K69" s="748">
        <v>260.74</v>
      </c>
      <c r="L69" s="217">
        <f>+'Tab-22 ProfitPlan'!C69</f>
        <v>517.53510842421713</v>
      </c>
      <c r="M69" s="217">
        <f t="shared" si="0"/>
        <v>256.79510842421712</v>
      </c>
      <c r="N69" s="217"/>
    </row>
    <row r="70" spans="1:14" ht="12" thickBot="1" x14ac:dyDescent="0.25">
      <c r="A70" s="226"/>
      <c r="B70" s="227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7"/>
    </row>
    <row r="71" spans="1:14" ht="12" thickBot="1" x14ac:dyDescent="0.25">
      <c r="A71" s="241"/>
      <c r="B71" s="242" t="s">
        <v>946</v>
      </c>
      <c r="C71" s="243">
        <f t="shared" ref="C71:J71" si="17">SUM(C60:C70)</f>
        <v>59339.23</v>
      </c>
      <c r="D71" s="243">
        <f t="shared" si="17"/>
        <v>112675.81</v>
      </c>
      <c r="E71" s="243">
        <f t="shared" si="17"/>
        <v>107789.32</v>
      </c>
      <c r="F71" s="243">
        <f t="shared" si="17"/>
        <v>62324.070000000007</v>
      </c>
      <c r="G71" s="243">
        <f t="shared" si="17"/>
        <v>92662.45</v>
      </c>
      <c r="H71" s="243">
        <f t="shared" si="17"/>
        <v>101528.17</v>
      </c>
      <c r="I71" s="243">
        <f t="shared" si="17"/>
        <v>226911.47999999998</v>
      </c>
      <c r="J71" s="243">
        <f t="shared" si="17"/>
        <v>77078.98000000001</v>
      </c>
      <c r="K71" s="243">
        <f>SUM(K60:K70)</f>
        <v>34890.25</v>
      </c>
      <c r="L71" s="243">
        <f>+'Tab-22 ProfitPlan'!C71</f>
        <v>69252.624517519507</v>
      </c>
      <c r="M71" s="243">
        <f t="shared" si="0"/>
        <v>34362.374517519507</v>
      </c>
      <c r="N71" s="217"/>
    </row>
    <row r="72" spans="1:14" x14ac:dyDescent="0.2">
      <c r="A72" s="234"/>
      <c r="B72" s="235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1:14" x14ac:dyDescent="0.2">
      <c r="A73" s="209"/>
      <c r="B73" s="210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7"/>
    </row>
    <row r="74" spans="1:14" ht="12" thickBot="1" x14ac:dyDescent="0.25">
      <c r="A74" s="211"/>
      <c r="B74" s="247" t="s">
        <v>560</v>
      </c>
      <c r="C74" s="223">
        <f t="shared" ref="C74:J74" si="18">C58+C71</f>
        <v>147760.57999999999</v>
      </c>
      <c r="D74" s="223">
        <f t="shared" si="18"/>
        <v>230546.78999999998</v>
      </c>
      <c r="E74" s="223">
        <f t="shared" si="18"/>
        <v>202606.49</v>
      </c>
      <c r="F74" s="223">
        <f t="shared" si="18"/>
        <v>179116.69</v>
      </c>
      <c r="G74" s="223">
        <f t="shared" si="18"/>
        <v>232773.39999999997</v>
      </c>
      <c r="H74" s="223">
        <f t="shared" si="18"/>
        <v>229025.79</v>
      </c>
      <c r="I74" s="223">
        <f t="shared" si="18"/>
        <v>269783.61</v>
      </c>
      <c r="J74" s="223">
        <f t="shared" si="18"/>
        <v>93628.88</v>
      </c>
      <c r="K74" s="223">
        <f>K58+K71</f>
        <v>46640.49</v>
      </c>
      <c r="L74" s="223">
        <f>+'Tab-22 ProfitPlan'!C74</f>
        <v>92575.328101206615</v>
      </c>
      <c r="M74" s="223">
        <f t="shared" si="0"/>
        <v>45934.838101206617</v>
      </c>
      <c r="N74" s="224"/>
    </row>
    <row r="75" spans="1:14" x14ac:dyDescent="0.2">
      <c r="A75" s="239"/>
      <c r="B75" s="20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</row>
    <row r="76" spans="1:14" ht="12" thickBot="1" x14ac:dyDescent="0.25">
      <c r="A76" s="211"/>
      <c r="B76" s="247" t="s">
        <v>559</v>
      </c>
      <c r="C76" s="223">
        <f t="shared" ref="C76:J76" si="19">C74+C45</f>
        <v>959005.94</v>
      </c>
      <c r="D76" s="223">
        <f t="shared" si="19"/>
        <v>1334376.8600000001</v>
      </c>
      <c r="E76" s="223">
        <f t="shared" si="19"/>
        <v>1448094.7699999998</v>
      </c>
      <c r="F76" s="223">
        <f t="shared" si="19"/>
        <v>1551630.08</v>
      </c>
      <c r="G76" s="223">
        <f t="shared" si="19"/>
        <v>1720430.2399999998</v>
      </c>
      <c r="H76" s="223">
        <f t="shared" si="19"/>
        <v>1245694.3700000001</v>
      </c>
      <c r="I76" s="223">
        <f t="shared" si="19"/>
        <v>823395.4</v>
      </c>
      <c r="J76" s="223">
        <f t="shared" si="19"/>
        <v>402758.84</v>
      </c>
      <c r="K76" s="223">
        <f t="shared" ref="K76" si="20">K74+K45</f>
        <v>561725.81000000006</v>
      </c>
      <c r="L76" s="223">
        <f>+'Tab-22 ProfitPlan'!C76</f>
        <v>1114952.9338921194</v>
      </c>
      <c r="M76" s="223">
        <f t="shared" ref="M76:M137" si="21">+L76-K76</f>
        <v>553227.12389211939</v>
      </c>
      <c r="N76" s="224"/>
    </row>
    <row r="77" spans="1:14" x14ac:dyDescent="0.2"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</row>
    <row r="78" spans="1:14" ht="12" thickBot="1" x14ac:dyDescent="0.25">
      <c r="A78" s="211"/>
      <c r="B78" s="247" t="s">
        <v>558</v>
      </c>
      <c r="C78" s="223">
        <f t="shared" ref="C78:J78" si="22">C28-C76</f>
        <v>6578002.6900000013</v>
      </c>
      <c r="D78" s="223">
        <f t="shared" si="22"/>
        <v>6067248.3399999999</v>
      </c>
      <c r="E78" s="223">
        <f t="shared" si="22"/>
        <v>6245305.2000000011</v>
      </c>
      <c r="F78" s="223">
        <f t="shared" si="22"/>
        <v>6750938.3699999992</v>
      </c>
      <c r="G78" s="223">
        <f t="shared" si="22"/>
        <v>7868350.1900000013</v>
      </c>
      <c r="H78" s="223">
        <f t="shared" si="22"/>
        <v>7618761.5900000008</v>
      </c>
      <c r="I78" s="223">
        <f t="shared" si="22"/>
        <v>3882974.1</v>
      </c>
      <c r="J78" s="223">
        <f t="shared" si="22"/>
        <v>3052580.8600000003</v>
      </c>
      <c r="K78" s="223">
        <f t="shared" ref="K78" si="23">K28-K76</f>
        <v>1856873.2400000002</v>
      </c>
      <c r="L78" s="223">
        <f>+'Tab-22 ProfitPlan'!C78</f>
        <v>3225819.2655542176</v>
      </c>
      <c r="M78" s="223">
        <f t="shared" si="21"/>
        <v>1368946.0255542174</v>
      </c>
      <c r="N78" s="224"/>
    </row>
    <row r="79" spans="1:14" ht="10.5" customHeight="1" x14ac:dyDescent="0.2">
      <c r="A79" s="248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7"/>
    </row>
    <row r="80" spans="1:14" x14ac:dyDescent="0.2"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7"/>
    </row>
    <row r="81" spans="1:15" x14ac:dyDescent="0.2">
      <c r="B81" s="249" t="s">
        <v>557</v>
      </c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7"/>
    </row>
    <row r="82" spans="1:15" ht="12" thickBot="1" x14ac:dyDescent="0.25">
      <c r="A82" s="211"/>
      <c r="B82" s="212" t="s">
        <v>556</v>
      </c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7"/>
    </row>
    <row r="83" spans="1:15" x14ac:dyDescent="0.2">
      <c r="A83" s="836" t="s">
        <v>555</v>
      </c>
      <c r="B83" s="837" t="s">
        <v>554</v>
      </c>
      <c r="C83" s="748">
        <v>27584</v>
      </c>
      <c r="D83" s="748">
        <v>17490</v>
      </c>
      <c r="E83" s="748">
        <v>13145</v>
      </c>
      <c r="F83" s="748">
        <v>-2195</v>
      </c>
      <c r="G83" s="748">
        <v>36351.879999999997</v>
      </c>
      <c r="H83" s="748">
        <v>361244.07</v>
      </c>
      <c r="I83" s="748">
        <v>18788.2</v>
      </c>
      <c r="J83" s="748">
        <v>41675</v>
      </c>
      <c r="K83" s="748">
        <v>32485</v>
      </c>
      <c r="L83" s="250">
        <f>+'Tab-22 ProfitPlan'!C83</f>
        <v>56719.257972456195</v>
      </c>
      <c r="M83" s="250">
        <f t="shared" si="21"/>
        <v>24234.257972456195</v>
      </c>
      <c r="N83" s="217"/>
    </row>
    <row r="84" spans="1:15" x14ac:dyDescent="0.2">
      <c r="A84" s="836" t="s">
        <v>553</v>
      </c>
      <c r="B84" s="837" t="s">
        <v>552</v>
      </c>
      <c r="C84" s="748">
        <v>520040.7</v>
      </c>
      <c r="D84" s="748">
        <v>474951.3</v>
      </c>
      <c r="E84" s="748">
        <v>359059.6</v>
      </c>
      <c r="F84" s="748">
        <v>410875</v>
      </c>
      <c r="G84" s="748">
        <v>461834.5</v>
      </c>
      <c r="H84" s="748">
        <v>339903.65</v>
      </c>
      <c r="I84" s="748">
        <v>291798.78999999998</v>
      </c>
      <c r="J84" s="748">
        <v>100005.51</v>
      </c>
      <c r="K84" s="748">
        <v>60239.45</v>
      </c>
      <c r="L84" s="216">
        <f>+'Tab-22 ProfitPlan'!C84</f>
        <v>105178.9104100008</v>
      </c>
      <c r="M84" s="216">
        <f t="shared" si="21"/>
        <v>44939.4604100008</v>
      </c>
      <c r="N84" s="217"/>
    </row>
    <row r="85" spans="1:15" x14ac:dyDescent="0.2">
      <c r="A85" s="836" t="s">
        <v>551</v>
      </c>
      <c r="B85" s="837" t="s">
        <v>550</v>
      </c>
      <c r="C85" s="748">
        <v>645486.38</v>
      </c>
      <c r="D85" s="748">
        <v>667090.67000000004</v>
      </c>
      <c r="E85" s="748">
        <v>473548</v>
      </c>
      <c r="F85" s="748">
        <v>523079.75</v>
      </c>
      <c r="G85" s="748">
        <v>559126.55000000005</v>
      </c>
      <c r="H85" s="748">
        <v>293866.84999999998</v>
      </c>
      <c r="I85" s="748">
        <v>208019.17</v>
      </c>
      <c r="J85" s="748">
        <v>183583.3</v>
      </c>
      <c r="K85" s="748">
        <v>127316.15</v>
      </c>
      <c r="L85" s="216">
        <f>+'Tab-22 ProfitPlan'!C85</f>
        <v>222295.75360658544</v>
      </c>
      <c r="M85" s="216">
        <f t="shared" si="21"/>
        <v>94979.603606585442</v>
      </c>
      <c r="N85" s="217"/>
    </row>
    <row r="86" spans="1:15" x14ac:dyDescent="0.2">
      <c r="A86" s="836" t="s">
        <v>549</v>
      </c>
      <c r="B86" s="837" t="s">
        <v>548</v>
      </c>
      <c r="C86" s="748">
        <v>11115</v>
      </c>
      <c r="D86" s="748">
        <v>0</v>
      </c>
      <c r="E86" s="748">
        <v>0</v>
      </c>
      <c r="F86" s="748">
        <v>6625</v>
      </c>
      <c r="G86" s="748">
        <v>78772</v>
      </c>
      <c r="H86" s="748">
        <v>220636.57</v>
      </c>
      <c r="I86" s="748">
        <v>35415.15</v>
      </c>
      <c r="J86" s="748">
        <v>53339.75</v>
      </c>
      <c r="K86" s="748">
        <v>106957.5</v>
      </c>
      <c r="L86" s="216">
        <f>+'Tab-22 ProfitPlan'!C86</f>
        <v>186749.26995810322</v>
      </c>
      <c r="M86" s="216">
        <f t="shared" si="21"/>
        <v>79791.769958103221</v>
      </c>
      <c r="N86" s="217"/>
    </row>
    <row r="87" spans="1:15" x14ac:dyDescent="0.2">
      <c r="A87" s="836" t="s">
        <v>547</v>
      </c>
      <c r="B87" s="837" t="s">
        <v>546</v>
      </c>
      <c r="C87" s="748">
        <v>73090</v>
      </c>
      <c r="D87" s="748">
        <v>14518.4</v>
      </c>
      <c r="E87" s="748">
        <v>8355.15</v>
      </c>
      <c r="F87" s="748">
        <v>-11119</v>
      </c>
      <c r="G87" s="748">
        <v>119795</v>
      </c>
      <c r="H87" s="748">
        <v>77597.5</v>
      </c>
      <c r="I87" s="748">
        <v>4360.5</v>
      </c>
      <c r="J87" s="748">
        <v>23390</v>
      </c>
      <c r="K87" s="748">
        <v>59272.5</v>
      </c>
      <c r="L87" s="216">
        <f>+'Tab-22 ProfitPlan'!C87</f>
        <v>103490.60237563214</v>
      </c>
      <c r="M87" s="216">
        <f t="shared" si="21"/>
        <v>44218.102375632137</v>
      </c>
      <c r="N87" s="217"/>
    </row>
    <row r="88" spans="1:15" x14ac:dyDescent="0.2">
      <c r="A88" s="836" t="s">
        <v>545</v>
      </c>
      <c r="B88" s="837" t="s">
        <v>544</v>
      </c>
      <c r="C88" s="748"/>
      <c r="D88" s="748">
        <v>3235</v>
      </c>
      <c r="E88" s="748">
        <v>4715.79</v>
      </c>
      <c r="F88" s="748">
        <v>-4715.79</v>
      </c>
      <c r="G88" s="748">
        <v>0</v>
      </c>
      <c r="H88" s="748"/>
      <c r="I88" s="748">
        <v>20225</v>
      </c>
      <c r="J88" s="748">
        <v>-19262.5</v>
      </c>
      <c r="K88" s="748">
        <v>0</v>
      </c>
      <c r="L88" s="216">
        <f>+'Tab-22 ProfitPlan'!C88</f>
        <v>0</v>
      </c>
      <c r="M88" s="216">
        <f t="shared" si="21"/>
        <v>0</v>
      </c>
      <c r="N88" s="217"/>
    </row>
    <row r="89" spans="1:15" x14ac:dyDescent="0.2">
      <c r="A89" s="836" t="s">
        <v>543</v>
      </c>
      <c r="B89" s="837" t="s">
        <v>542</v>
      </c>
      <c r="C89" s="748"/>
      <c r="D89" s="748">
        <v>470.4</v>
      </c>
      <c r="E89" s="748">
        <v>0</v>
      </c>
      <c r="F89" s="748">
        <v>0</v>
      </c>
      <c r="G89" s="748">
        <v>1600</v>
      </c>
      <c r="H89" s="748">
        <v>6500</v>
      </c>
      <c r="I89" s="748">
        <v>10500</v>
      </c>
      <c r="J89" s="748">
        <v>-25550</v>
      </c>
      <c r="K89" s="748">
        <v>0</v>
      </c>
      <c r="L89" s="216">
        <f>+'Tab-22 ProfitPlan'!C89</f>
        <v>0</v>
      </c>
      <c r="M89" s="216">
        <f t="shared" si="21"/>
        <v>0</v>
      </c>
      <c r="N89" s="217"/>
    </row>
    <row r="90" spans="1:15" x14ac:dyDescent="0.2">
      <c r="A90" s="836" t="s">
        <v>541</v>
      </c>
      <c r="B90" s="837" t="s">
        <v>540</v>
      </c>
      <c r="C90" s="748">
        <v>19926.25</v>
      </c>
      <c r="D90" s="748">
        <v>12532.75</v>
      </c>
      <c r="E90" s="748">
        <v>4801</v>
      </c>
      <c r="F90" s="748">
        <v>19215</v>
      </c>
      <c r="G90" s="748">
        <v>-10567</v>
      </c>
      <c r="H90" s="748">
        <v>15689.5</v>
      </c>
      <c r="I90" s="748">
        <v>110690</v>
      </c>
      <c r="J90" s="748">
        <v>-15950.75</v>
      </c>
      <c r="K90" s="748">
        <v>18319.2</v>
      </c>
      <c r="L90" s="216">
        <f>+'Tab-22 ProfitPlan'!C90</f>
        <v>31985.575824196381</v>
      </c>
      <c r="M90" s="216">
        <f t="shared" si="21"/>
        <v>13666.375824196381</v>
      </c>
      <c r="N90" s="217"/>
    </row>
    <row r="91" spans="1:15" x14ac:dyDescent="0.2">
      <c r="A91" s="836" t="s">
        <v>539</v>
      </c>
      <c r="B91" s="837" t="s">
        <v>538</v>
      </c>
      <c r="C91" s="748">
        <v>189283.42</v>
      </c>
      <c r="D91" s="748">
        <v>223646.45</v>
      </c>
      <c r="E91" s="748">
        <v>172912.9</v>
      </c>
      <c r="F91" s="748">
        <v>190045.9</v>
      </c>
      <c r="G91" s="748">
        <v>204166.31</v>
      </c>
      <c r="H91" s="748">
        <v>150521.60000000001</v>
      </c>
      <c r="I91" s="748">
        <v>39898.720000000001</v>
      </c>
      <c r="J91" s="748">
        <v>25199.5</v>
      </c>
      <c r="K91" s="748">
        <v>11240</v>
      </c>
      <c r="L91" s="216">
        <f>+'Tab-22 ProfitPlan'!C91</f>
        <v>19625.195001089967</v>
      </c>
      <c r="M91" s="216">
        <f t="shared" si="21"/>
        <v>8385.1950010899673</v>
      </c>
      <c r="N91" s="217"/>
    </row>
    <row r="92" spans="1:15" x14ac:dyDescent="0.2">
      <c r="A92" s="836" t="s">
        <v>537</v>
      </c>
      <c r="B92" s="837" t="s">
        <v>536</v>
      </c>
      <c r="C92" s="748">
        <v>0</v>
      </c>
      <c r="D92" s="748">
        <v>0</v>
      </c>
      <c r="E92" s="748">
        <v>0</v>
      </c>
      <c r="F92" s="748">
        <v>0</v>
      </c>
      <c r="G92" s="748">
        <v>0</v>
      </c>
      <c r="H92" s="748">
        <v>29505</v>
      </c>
      <c r="I92" s="748">
        <v>-35827.300000000003</v>
      </c>
      <c r="J92" s="748">
        <v>0</v>
      </c>
      <c r="K92" s="748">
        <v>650</v>
      </c>
      <c r="L92" s="216">
        <f>+'Tab-22 ProfitPlan'!C92</f>
        <v>1134.9089635861635</v>
      </c>
      <c r="M92" s="216">
        <f t="shared" si="21"/>
        <v>484.90896358616351</v>
      </c>
      <c r="N92" s="217"/>
    </row>
    <row r="93" spans="1:15" x14ac:dyDescent="0.2">
      <c r="A93" s="836" t="s">
        <v>535</v>
      </c>
      <c r="B93" s="837" t="s">
        <v>534</v>
      </c>
      <c r="C93" s="748">
        <v>32782.480000000003</v>
      </c>
      <c r="D93" s="748">
        <v>28151</v>
      </c>
      <c r="E93" s="748">
        <v>25450.240000000002</v>
      </c>
      <c r="F93" s="748">
        <v>46080.72</v>
      </c>
      <c r="G93" s="748">
        <v>15081.96</v>
      </c>
      <c r="H93" s="748">
        <v>97176.38</v>
      </c>
      <c r="I93" s="748"/>
      <c r="J93" s="748">
        <v>-7552.5</v>
      </c>
      <c r="K93" s="748">
        <v>1928</v>
      </c>
      <c r="L93" s="216">
        <f>+'Tab-22 ProfitPlan'!C93</f>
        <v>3366.3145873755743</v>
      </c>
      <c r="M93" s="216">
        <f t="shared" si="21"/>
        <v>1438.3145873755743</v>
      </c>
      <c r="N93" s="217"/>
    </row>
    <row r="94" spans="1:15" x14ac:dyDescent="0.2">
      <c r="A94" s="836" t="s">
        <v>533</v>
      </c>
      <c r="B94" s="837" t="s">
        <v>532</v>
      </c>
      <c r="C94" s="748"/>
      <c r="D94" s="748"/>
      <c r="E94" s="748">
        <v>46198.400000000001</v>
      </c>
      <c r="F94" s="748">
        <v>4802.55</v>
      </c>
      <c r="G94" s="748">
        <v>6500</v>
      </c>
      <c r="H94" s="748">
        <v>82590</v>
      </c>
      <c r="I94" s="748"/>
      <c r="J94" s="748">
        <v>0</v>
      </c>
      <c r="K94" s="748">
        <v>0</v>
      </c>
      <c r="L94" s="216">
        <f>+'Tab-22 ProfitPlan'!C94</f>
        <v>0</v>
      </c>
      <c r="M94" s="216">
        <f t="shared" si="21"/>
        <v>0</v>
      </c>
      <c r="N94" s="217"/>
    </row>
    <row r="95" spans="1:15" x14ac:dyDescent="0.2">
      <c r="A95" s="836" t="s">
        <v>531</v>
      </c>
      <c r="B95" s="837" t="s">
        <v>530</v>
      </c>
      <c r="C95" s="748">
        <v>0</v>
      </c>
      <c r="D95" s="748">
        <v>9578.98</v>
      </c>
      <c r="E95" s="748">
        <v>14613.02</v>
      </c>
      <c r="F95" s="748">
        <v>0</v>
      </c>
      <c r="G95" s="748">
        <v>0</v>
      </c>
      <c r="H95" s="748"/>
      <c r="I95" s="748"/>
      <c r="J95" s="748">
        <v>0</v>
      </c>
      <c r="K95" s="748">
        <v>0</v>
      </c>
      <c r="L95" s="217">
        <f>+'Tab-22 ProfitPlan'!C95</f>
        <v>0</v>
      </c>
      <c r="M95" s="217">
        <f t="shared" si="21"/>
        <v>0</v>
      </c>
      <c r="N95" s="217"/>
      <c r="O95" s="59"/>
    </row>
    <row r="96" spans="1:15" x14ac:dyDescent="0.2">
      <c r="A96" s="209"/>
      <c r="B96" s="210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7"/>
    </row>
    <row r="97" spans="1:14" ht="12" thickBot="1" x14ac:dyDescent="0.25">
      <c r="A97" s="236"/>
      <c r="B97" s="237" t="s">
        <v>529</v>
      </c>
      <c r="C97" s="238">
        <f t="shared" ref="C97" si="24">SUM(C82:C96)</f>
        <v>1519308.23</v>
      </c>
      <c r="D97" s="238">
        <f t="shared" ref="D97" si="25">SUM(D82:D96)</f>
        <v>1451664.9499999997</v>
      </c>
      <c r="E97" s="238">
        <f t="shared" ref="E97" si="26">SUM(E82:E96)</f>
        <v>1122799.1000000001</v>
      </c>
      <c r="F97" s="238">
        <f t="shared" ref="F97" si="27">SUM(F82:F96)</f>
        <v>1182694.1299999999</v>
      </c>
      <c r="G97" s="238">
        <f t="shared" ref="G97" si="28">SUM(G82:G96)</f>
        <v>1472661.2000000002</v>
      </c>
      <c r="H97" s="238">
        <f t="shared" ref="H97" si="29">SUM(H82:H96)</f>
        <v>1675231.12</v>
      </c>
      <c r="I97" s="238">
        <f t="shared" ref="I97" si="30">SUM(I82:I96)</f>
        <v>703868.23</v>
      </c>
      <c r="J97" s="238">
        <f t="shared" ref="J97" si="31">SUM(J82:J96)</f>
        <v>358877.31</v>
      </c>
      <c r="K97" s="238">
        <f t="shared" ref="K97" si="32">SUM(K82:K96)</f>
        <v>418407.8</v>
      </c>
      <c r="L97" s="238">
        <f>+'Tab-22 ProfitPlan'!C97</f>
        <v>730545.78869902587</v>
      </c>
      <c r="M97" s="238">
        <f t="shared" si="21"/>
        <v>312137.98869902588</v>
      </c>
      <c r="N97" s="224"/>
    </row>
    <row r="98" spans="1:14" x14ac:dyDescent="0.2">
      <c r="A98" s="239"/>
      <c r="B98" s="204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7"/>
    </row>
    <row r="99" spans="1:14" ht="12" thickBot="1" x14ac:dyDescent="0.25">
      <c r="A99" s="211"/>
      <c r="B99" s="212" t="s">
        <v>947</v>
      </c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7"/>
    </row>
    <row r="100" spans="1:14" x14ac:dyDescent="0.2">
      <c r="A100" s="836" t="s">
        <v>528</v>
      </c>
      <c r="B100" s="837"/>
      <c r="C100" s="748">
        <v>0</v>
      </c>
      <c r="D100" s="748">
        <v>0</v>
      </c>
      <c r="E100" s="748">
        <v>61762.86</v>
      </c>
      <c r="F100" s="748">
        <v>0</v>
      </c>
      <c r="G100" s="748">
        <v>0</v>
      </c>
      <c r="H100" s="748"/>
      <c r="I100" s="748"/>
      <c r="J100" s="748">
        <v>0</v>
      </c>
      <c r="K100" s="748">
        <v>0</v>
      </c>
      <c r="L100" s="216">
        <f>+'Tab-22 ProfitPlan'!C100</f>
        <v>0</v>
      </c>
      <c r="M100" s="216">
        <f t="shared" si="21"/>
        <v>0</v>
      </c>
      <c r="N100" s="217"/>
    </row>
    <row r="101" spans="1:14" x14ac:dyDescent="0.2">
      <c r="A101" s="836" t="s">
        <v>527</v>
      </c>
      <c r="B101" s="837" t="s">
        <v>433</v>
      </c>
      <c r="C101" s="748">
        <v>9980.98</v>
      </c>
      <c r="D101" s="748">
        <v>21243.53</v>
      </c>
      <c r="E101" s="748">
        <v>14711.42</v>
      </c>
      <c r="F101" s="748">
        <v>14946.33</v>
      </c>
      <c r="G101" s="748">
        <v>16738.41</v>
      </c>
      <c r="H101" s="748">
        <v>24689.15</v>
      </c>
      <c r="I101" s="748">
        <v>6018.4</v>
      </c>
      <c r="J101" s="748">
        <f>115+1188.34</f>
        <v>1303.3399999999999</v>
      </c>
      <c r="K101" s="748">
        <v>469.25</v>
      </c>
      <c r="L101" s="216">
        <f>+'Tab-22 ProfitPlan'!C101</f>
        <v>819.3169710197036</v>
      </c>
      <c r="M101" s="216">
        <f t="shared" si="21"/>
        <v>350.0669710197036</v>
      </c>
      <c r="N101" s="217"/>
    </row>
    <row r="102" spans="1:14" x14ac:dyDescent="0.2">
      <c r="A102" s="836" t="s">
        <v>526</v>
      </c>
      <c r="B102" s="837" t="s">
        <v>525</v>
      </c>
      <c r="C102" s="748">
        <v>5908.24</v>
      </c>
      <c r="D102" s="748">
        <v>9828.8700000000008</v>
      </c>
      <c r="E102" s="748">
        <v>6483.7</v>
      </c>
      <c r="F102" s="748">
        <v>6729.17</v>
      </c>
      <c r="G102" s="748">
        <v>7148.71</v>
      </c>
      <c r="H102" s="748">
        <v>8896.36</v>
      </c>
      <c r="I102" s="748">
        <v>2392.91</v>
      </c>
      <c r="J102" s="748">
        <v>2097.6799999999998</v>
      </c>
      <c r="K102" s="748">
        <v>1123.94</v>
      </c>
      <c r="L102" s="216">
        <f>+'Tab-22 ProfitPlan'!C102</f>
        <v>1962.4147392815892</v>
      </c>
      <c r="M102" s="216">
        <f t="shared" si="21"/>
        <v>838.47473928158911</v>
      </c>
      <c r="N102" s="217"/>
    </row>
    <row r="103" spans="1:14" x14ac:dyDescent="0.2">
      <c r="A103" s="836" t="s">
        <v>524</v>
      </c>
      <c r="B103" s="837" t="s">
        <v>523</v>
      </c>
      <c r="C103" s="748">
        <v>67763.73</v>
      </c>
      <c r="D103" s="748">
        <v>93911.8</v>
      </c>
      <c r="E103" s="748">
        <v>52099.74</v>
      </c>
      <c r="F103" s="748">
        <v>69023.8</v>
      </c>
      <c r="G103" s="748">
        <v>56392.11</v>
      </c>
      <c r="H103" s="748">
        <v>49550.66</v>
      </c>
      <c r="I103" s="748">
        <v>7905.81</v>
      </c>
      <c r="J103" s="748">
        <v>4293.63</v>
      </c>
      <c r="K103" s="748">
        <v>0</v>
      </c>
      <c r="L103" s="216">
        <f>+'Tab-22 ProfitPlan'!C103</f>
        <v>0</v>
      </c>
      <c r="M103" s="216">
        <f t="shared" si="21"/>
        <v>0</v>
      </c>
      <c r="N103" s="217"/>
    </row>
    <row r="104" spans="1:14" x14ac:dyDescent="0.2">
      <c r="A104" s="836" t="s">
        <v>522</v>
      </c>
      <c r="B104" s="837" t="s">
        <v>521</v>
      </c>
      <c r="C104" s="748">
        <v>96</v>
      </c>
      <c r="D104" s="748">
        <v>323</v>
      </c>
      <c r="E104" s="748">
        <v>368.5</v>
      </c>
      <c r="F104" s="748">
        <v>218</v>
      </c>
      <c r="G104" s="748">
        <v>252.5</v>
      </c>
      <c r="H104" s="748">
        <v>453</v>
      </c>
      <c r="I104" s="748">
        <v>34</v>
      </c>
      <c r="J104" s="748">
        <v>10</v>
      </c>
      <c r="K104" s="748">
        <v>0</v>
      </c>
      <c r="L104" s="216">
        <f>+'Tab-22 ProfitPlan'!C104</f>
        <v>0</v>
      </c>
      <c r="M104" s="216">
        <f t="shared" si="21"/>
        <v>0</v>
      </c>
      <c r="N104" s="217"/>
    </row>
    <row r="105" spans="1:14" x14ac:dyDescent="0.2">
      <c r="A105" s="836" t="s">
        <v>520</v>
      </c>
      <c r="B105" s="837" t="s">
        <v>519</v>
      </c>
      <c r="C105" s="748">
        <v>6277.75</v>
      </c>
      <c r="D105" s="748">
        <v>7335.52</v>
      </c>
      <c r="E105" s="748">
        <v>3495.22</v>
      </c>
      <c r="F105" s="748">
        <v>12239.01</v>
      </c>
      <c r="G105" s="748">
        <v>3469.34</v>
      </c>
      <c r="H105" s="748"/>
      <c r="I105" s="748"/>
      <c r="J105" s="748">
        <v>0</v>
      </c>
      <c r="K105" s="748">
        <v>0</v>
      </c>
      <c r="L105" s="216">
        <f>+'Tab-22 ProfitPlan'!C105</f>
        <v>0</v>
      </c>
      <c r="M105" s="216">
        <f t="shared" si="21"/>
        <v>0</v>
      </c>
      <c r="N105" s="217"/>
    </row>
    <row r="106" spans="1:14" x14ac:dyDescent="0.2">
      <c r="A106" s="836" t="s">
        <v>518</v>
      </c>
      <c r="B106" s="837" t="s">
        <v>419</v>
      </c>
      <c r="C106" s="748">
        <v>10251.59</v>
      </c>
      <c r="D106" s="748">
        <v>15557.79</v>
      </c>
      <c r="E106" s="748">
        <v>15832.58</v>
      </c>
      <c r="F106" s="748">
        <v>11774.5</v>
      </c>
      <c r="G106" s="748">
        <v>15734.88</v>
      </c>
      <c r="H106" s="748">
        <v>26073.759999999998</v>
      </c>
      <c r="I106" s="748">
        <v>6154.15</v>
      </c>
      <c r="J106" s="748">
        <v>2190.04</v>
      </c>
      <c r="K106" s="748">
        <v>1719.07</v>
      </c>
      <c r="L106" s="216">
        <f>+'Tab-22 ProfitPlan'!C106</f>
        <v>3001.5199262031792</v>
      </c>
      <c r="M106" s="216">
        <f t="shared" si="21"/>
        <v>1282.4499262031793</v>
      </c>
      <c r="N106" s="217"/>
    </row>
    <row r="107" spans="1:14" x14ac:dyDescent="0.2">
      <c r="A107" s="836" t="s">
        <v>517</v>
      </c>
      <c r="B107" s="837" t="s">
        <v>516</v>
      </c>
      <c r="C107" s="748">
        <v>166.32</v>
      </c>
      <c r="D107" s="748">
        <v>1439.79</v>
      </c>
      <c r="E107" s="748">
        <v>1698.25</v>
      </c>
      <c r="F107" s="748">
        <v>1531.26</v>
      </c>
      <c r="G107" s="748">
        <v>2382.87</v>
      </c>
      <c r="H107" s="748">
        <v>4831.6400000000003</v>
      </c>
      <c r="I107" s="748">
        <v>520.22</v>
      </c>
      <c r="J107" s="748">
        <v>545.96</v>
      </c>
      <c r="K107" s="748">
        <v>256.72000000000003</v>
      </c>
      <c r="L107" s="216">
        <f>+'Tab-22 ProfitPlan'!C107</f>
        <v>448.23666020283076</v>
      </c>
      <c r="M107" s="216">
        <f t="shared" si="21"/>
        <v>191.51666020283074</v>
      </c>
      <c r="N107" s="217"/>
    </row>
    <row r="108" spans="1:14" x14ac:dyDescent="0.2">
      <c r="A108" s="836" t="s">
        <v>515</v>
      </c>
      <c r="B108" s="837" t="s">
        <v>417</v>
      </c>
      <c r="C108" s="748">
        <v>2646.72</v>
      </c>
      <c r="D108" s="748">
        <v>1848.67</v>
      </c>
      <c r="E108" s="748">
        <v>3193.11</v>
      </c>
      <c r="F108" s="748">
        <v>1298.42</v>
      </c>
      <c r="G108" s="748">
        <v>1384.68</v>
      </c>
      <c r="H108" s="748">
        <v>5942.35</v>
      </c>
      <c r="I108" s="748">
        <v>5273.51</v>
      </c>
      <c r="J108" s="748">
        <v>5102.03</v>
      </c>
      <c r="K108" s="748">
        <v>5748.05</v>
      </c>
      <c r="L108" s="216">
        <f>+'Tab-22 ProfitPlan'!C108</f>
        <v>10036.174566371459</v>
      </c>
      <c r="M108" s="216">
        <f t="shared" si="21"/>
        <v>4288.124566371459</v>
      </c>
      <c r="N108" s="217"/>
    </row>
    <row r="109" spans="1:14" x14ac:dyDescent="0.2">
      <c r="A109" s="836" t="s">
        <v>514</v>
      </c>
      <c r="B109" s="837" t="s">
        <v>408</v>
      </c>
      <c r="C109" s="748">
        <v>1175.01</v>
      </c>
      <c r="D109" s="748">
        <v>1479.03</v>
      </c>
      <c r="E109" s="748">
        <v>633.70000000000005</v>
      </c>
      <c r="F109" s="748">
        <v>1462.27</v>
      </c>
      <c r="G109" s="748">
        <v>617.63</v>
      </c>
      <c r="H109" s="748">
        <v>1018.65</v>
      </c>
      <c r="I109" s="748">
        <v>203.52</v>
      </c>
      <c r="J109" s="748">
        <v>146.86000000000001</v>
      </c>
      <c r="K109" s="748">
        <v>22.54</v>
      </c>
      <c r="L109" s="216">
        <f>+'Tab-22 ProfitPlan'!C109</f>
        <v>39.355150829587892</v>
      </c>
      <c r="M109" s="216">
        <f t="shared" si="21"/>
        <v>16.815150829587893</v>
      </c>
      <c r="N109" s="217"/>
    </row>
    <row r="110" spans="1:14" x14ac:dyDescent="0.2">
      <c r="A110" s="839" t="s">
        <v>513</v>
      </c>
      <c r="B110" s="837" t="s">
        <v>512</v>
      </c>
      <c r="C110" s="748">
        <v>0</v>
      </c>
      <c r="D110" s="748">
        <v>0</v>
      </c>
      <c r="E110" s="748">
        <v>0</v>
      </c>
      <c r="F110" s="748">
        <v>0</v>
      </c>
      <c r="G110" s="748">
        <v>0</v>
      </c>
      <c r="H110" s="748">
        <v>5992</v>
      </c>
      <c r="I110" s="748">
        <v>7365.75</v>
      </c>
      <c r="J110" s="748">
        <v>15095.34</v>
      </c>
      <c r="K110" s="748">
        <v>0</v>
      </c>
      <c r="L110" s="216">
        <f>+'Tab-22 ProfitPlan'!C110</f>
        <v>0</v>
      </c>
      <c r="M110" s="216">
        <f t="shared" si="21"/>
        <v>0</v>
      </c>
      <c r="N110" s="217"/>
    </row>
    <row r="111" spans="1:14" x14ac:dyDescent="0.2">
      <c r="A111" s="225"/>
      <c r="B111" s="215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7"/>
    </row>
    <row r="112" spans="1:14" ht="12" thickBot="1" x14ac:dyDescent="0.25">
      <c r="A112" s="251"/>
      <c r="B112" s="252" t="s">
        <v>948</v>
      </c>
      <c r="C112" s="253">
        <f t="shared" ref="C112:J112" si="33">SUM(C99:C111)</f>
        <v>104266.34</v>
      </c>
      <c r="D112" s="253">
        <f t="shared" si="33"/>
        <v>152968.00000000003</v>
      </c>
      <c r="E112" s="253">
        <f t="shared" si="33"/>
        <v>160279.07999999999</v>
      </c>
      <c r="F112" s="253">
        <f t="shared" si="33"/>
        <v>119222.76</v>
      </c>
      <c r="G112" s="253">
        <f t="shared" si="33"/>
        <v>104121.12999999999</v>
      </c>
      <c r="H112" s="253">
        <f t="shared" si="33"/>
        <v>127447.57</v>
      </c>
      <c r="I112" s="253">
        <f t="shared" si="33"/>
        <v>35868.270000000004</v>
      </c>
      <c r="J112" s="253">
        <f t="shared" si="33"/>
        <v>30784.879999999997</v>
      </c>
      <c r="K112" s="253">
        <f>SUM(K99:K111)</f>
        <v>9339.5700000000015</v>
      </c>
      <c r="L112" s="253">
        <f>+'Tab-22 ProfitPlan'!C112</f>
        <v>16307.01801390835</v>
      </c>
      <c r="M112" s="253">
        <f t="shared" si="21"/>
        <v>6967.448013908348</v>
      </c>
      <c r="N112" s="217"/>
    </row>
    <row r="113" spans="1:14" x14ac:dyDescent="0.2">
      <c r="A113" s="225"/>
      <c r="B113" s="215"/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7"/>
    </row>
    <row r="114" spans="1:14" x14ac:dyDescent="0.2">
      <c r="A114" s="225"/>
      <c r="B114" s="244" t="s">
        <v>949</v>
      </c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17"/>
    </row>
    <row r="115" spans="1:14" x14ac:dyDescent="0.2">
      <c r="A115" s="836" t="s">
        <v>511</v>
      </c>
      <c r="B115" s="837" t="s">
        <v>510</v>
      </c>
      <c r="C115" s="748">
        <v>6426.31</v>
      </c>
      <c r="D115" s="748">
        <v>9087.6200000000008</v>
      </c>
      <c r="E115" s="748">
        <v>1788.51</v>
      </c>
      <c r="F115" s="748">
        <v>743.86</v>
      </c>
      <c r="G115" s="748">
        <v>423.27</v>
      </c>
      <c r="H115" s="748">
        <v>6639.35</v>
      </c>
      <c r="I115" s="748">
        <v>1348.03</v>
      </c>
      <c r="J115" s="748">
        <v>4852.78</v>
      </c>
      <c r="K115" s="748">
        <v>1359.87</v>
      </c>
      <c r="L115" s="216">
        <f>+'Tab-22 ProfitPlan'!C115</f>
        <v>2374.3517727875637</v>
      </c>
      <c r="M115" s="216">
        <f t="shared" si="21"/>
        <v>1014.4817727875638</v>
      </c>
      <c r="N115" s="217"/>
    </row>
    <row r="116" spans="1:14" x14ac:dyDescent="0.2">
      <c r="A116" s="836" t="s">
        <v>509</v>
      </c>
      <c r="B116" s="837" t="s">
        <v>508</v>
      </c>
      <c r="C116" s="748">
        <v>9868.25</v>
      </c>
      <c r="D116" s="748">
        <v>38264.019999999997</v>
      </c>
      <c r="E116" s="748">
        <v>32887.25</v>
      </c>
      <c r="F116" s="748">
        <v>26703.75</v>
      </c>
      <c r="G116" s="748">
        <v>30534</v>
      </c>
      <c r="H116" s="748">
        <v>21549.06</v>
      </c>
      <c r="I116" s="748">
        <v>16719.349999999999</v>
      </c>
      <c r="J116" s="748">
        <v>619</v>
      </c>
      <c r="K116" s="748">
        <v>19</v>
      </c>
      <c r="L116" s="216">
        <f>+'Tab-22 ProfitPlan'!C116</f>
        <v>33.174262012518632</v>
      </c>
      <c r="M116" s="216">
        <f t="shared" si="21"/>
        <v>14.174262012518632</v>
      </c>
      <c r="N116" s="217"/>
    </row>
    <row r="117" spans="1:14" x14ac:dyDescent="0.2">
      <c r="A117" s="836" t="s">
        <v>507</v>
      </c>
      <c r="B117" s="837" t="s">
        <v>361</v>
      </c>
      <c r="C117" s="748">
        <v>377.44</v>
      </c>
      <c r="D117" s="748">
        <v>625.97</v>
      </c>
      <c r="E117" s="748">
        <v>1719.16</v>
      </c>
      <c r="F117" s="748">
        <v>35.08</v>
      </c>
      <c r="G117" s="748">
        <v>17.11</v>
      </c>
      <c r="H117" s="748">
        <v>2500</v>
      </c>
      <c r="I117" s="748"/>
      <c r="J117" s="748">
        <v>0</v>
      </c>
      <c r="K117" s="748">
        <v>0</v>
      </c>
      <c r="L117" s="216">
        <f>+'Tab-22 ProfitPlan'!C117</f>
        <v>0</v>
      </c>
      <c r="M117" s="216">
        <f t="shared" si="21"/>
        <v>0</v>
      </c>
      <c r="N117" s="217"/>
    </row>
    <row r="118" spans="1:14" x14ac:dyDescent="0.2">
      <c r="A118" s="836" t="s">
        <v>506</v>
      </c>
      <c r="B118" s="837" t="s">
        <v>505</v>
      </c>
      <c r="C118" s="748">
        <v>22389.03</v>
      </c>
      <c r="D118" s="748">
        <v>34424.36</v>
      </c>
      <c r="E118" s="748">
        <v>27402.25</v>
      </c>
      <c r="F118" s="748">
        <v>19720.87</v>
      </c>
      <c r="G118" s="748">
        <v>28625.96</v>
      </c>
      <c r="H118" s="748">
        <v>18794.8</v>
      </c>
      <c r="I118" s="748">
        <v>5435.06</v>
      </c>
      <c r="J118" s="748">
        <v>3538.27</v>
      </c>
      <c r="K118" s="748">
        <v>3787.01</v>
      </c>
      <c r="L118" s="216">
        <f>+'Tab-22 ProfitPlan'!C118</f>
        <v>6612.1716833699056</v>
      </c>
      <c r="M118" s="216">
        <f t="shared" si="21"/>
        <v>2825.1616833699054</v>
      </c>
      <c r="N118" s="217"/>
    </row>
    <row r="119" spans="1:14" x14ac:dyDescent="0.2">
      <c r="A119" s="836" t="s">
        <v>504</v>
      </c>
      <c r="B119" s="837" t="s">
        <v>503</v>
      </c>
      <c r="C119" s="748">
        <v>0</v>
      </c>
      <c r="D119" s="748">
        <v>2584</v>
      </c>
      <c r="E119" s="748">
        <v>430</v>
      </c>
      <c r="F119" s="748">
        <v>555</v>
      </c>
      <c r="G119" s="748">
        <v>42</v>
      </c>
      <c r="H119" s="748">
        <v>200</v>
      </c>
      <c r="I119" s="748">
        <v>9411.69</v>
      </c>
      <c r="J119" s="748">
        <v>1420.28</v>
      </c>
      <c r="K119" s="748">
        <v>40</v>
      </c>
      <c r="L119" s="216">
        <f>+'Tab-22 ProfitPlan'!C119</f>
        <v>69.840551605302394</v>
      </c>
      <c r="M119" s="216">
        <f t="shared" si="21"/>
        <v>29.840551605302394</v>
      </c>
      <c r="N119" s="217"/>
    </row>
    <row r="120" spans="1:14" x14ac:dyDescent="0.2">
      <c r="A120" s="836" t="s">
        <v>502</v>
      </c>
      <c r="B120" s="837" t="s">
        <v>501</v>
      </c>
      <c r="C120" s="748">
        <v>9330.2800000000007</v>
      </c>
      <c r="D120" s="748">
        <v>20384.150000000001</v>
      </c>
      <c r="E120" s="748">
        <v>9298.56</v>
      </c>
      <c r="F120" s="748">
        <v>13743.63</v>
      </c>
      <c r="G120" s="748">
        <v>19013.349999999999</v>
      </c>
      <c r="H120" s="748">
        <v>5428.33</v>
      </c>
      <c r="I120" s="748">
        <v>6271.91</v>
      </c>
      <c r="J120" s="748">
        <v>3551.18</v>
      </c>
      <c r="K120" s="748">
        <v>1615.17</v>
      </c>
      <c r="L120" s="216">
        <f>+'Tab-22 ProfitPlan'!C120</f>
        <v>2820.1090934084068</v>
      </c>
      <c r="M120" s="216">
        <f t="shared" si="21"/>
        <v>1204.9390934084067</v>
      </c>
      <c r="N120" s="217"/>
    </row>
    <row r="121" spans="1:14" x14ac:dyDescent="0.2">
      <c r="A121" s="836" t="s">
        <v>500</v>
      </c>
      <c r="B121" s="837" t="s">
        <v>353</v>
      </c>
      <c r="C121" s="748">
        <v>0</v>
      </c>
      <c r="D121" s="748">
        <v>0</v>
      </c>
      <c r="E121" s="748">
        <v>2835.38</v>
      </c>
      <c r="F121" s="748">
        <v>0</v>
      </c>
      <c r="G121" s="748">
        <v>0</v>
      </c>
      <c r="H121" s="748">
        <v>2343.33</v>
      </c>
      <c r="I121" s="748">
        <f>-1393.33+62</f>
        <v>-1331.33</v>
      </c>
      <c r="J121" s="748">
        <v>294.07</v>
      </c>
      <c r="K121" s="748">
        <v>95</v>
      </c>
      <c r="L121" s="216">
        <f>+'Tab-22 ProfitPlan'!C121</f>
        <v>165.87131006259318</v>
      </c>
      <c r="M121" s="216">
        <f t="shared" si="21"/>
        <v>70.871310062593182</v>
      </c>
      <c r="N121" s="217"/>
    </row>
    <row r="122" spans="1:14" x14ac:dyDescent="0.2">
      <c r="A122" s="836" t="s">
        <v>884</v>
      </c>
      <c r="B122" s="837" t="s">
        <v>562</v>
      </c>
      <c r="C122" s="748"/>
      <c r="D122" s="748"/>
      <c r="E122" s="748">
        <v>728.8</v>
      </c>
      <c r="F122" s="748">
        <v>223.54</v>
      </c>
      <c r="G122" s="748">
        <v>0</v>
      </c>
      <c r="H122" s="748"/>
      <c r="I122" s="748"/>
      <c r="J122" s="748">
        <v>22</v>
      </c>
      <c r="K122" s="748">
        <v>0</v>
      </c>
      <c r="L122" s="216">
        <f>+'Tab-22 ProfitPlan'!C122</f>
        <v>0</v>
      </c>
      <c r="M122" s="216">
        <f t="shared" si="21"/>
        <v>0</v>
      </c>
      <c r="N122" s="217"/>
    </row>
    <row r="123" spans="1:14" ht="12" thickBot="1" x14ac:dyDescent="0.25">
      <c r="A123" s="836" t="s">
        <v>497</v>
      </c>
      <c r="B123" s="837" t="s">
        <v>496</v>
      </c>
      <c r="C123" s="842">
        <v>36282.17</v>
      </c>
      <c r="D123" s="842">
        <v>42296.2</v>
      </c>
      <c r="E123" s="842">
        <v>3915.28</v>
      </c>
      <c r="F123" s="842">
        <v>2759.76</v>
      </c>
      <c r="G123" s="842">
        <v>315.44</v>
      </c>
      <c r="H123" s="842"/>
      <c r="I123" s="842"/>
      <c r="J123" s="842">
        <v>0</v>
      </c>
      <c r="K123" s="842">
        <v>97771.61</v>
      </c>
      <c r="L123" s="219">
        <f>+'Tab-22 ProfitPlan'!C123</f>
        <v>170710.57934346248</v>
      </c>
      <c r="M123" s="219">
        <f t="shared" si="21"/>
        <v>72938.969343462479</v>
      </c>
      <c r="N123" s="217"/>
    </row>
    <row r="124" spans="1:14" x14ac:dyDescent="0.2">
      <c r="A124" s="220"/>
      <c r="B124" s="221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7"/>
    </row>
    <row r="125" spans="1:14" ht="12" thickBot="1" x14ac:dyDescent="0.25">
      <c r="B125" s="222" t="s">
        <v>950</v>
      </c>
      <c r="C125" s="254">
        <f t="shared" ref="C125:J125" si="34">SUM(C114:C124)</f>
        <v>84673.48</v>
      </c>
      <c r="D125" s="254">
        <f t="shared" si="34"/>
        <v>147666.32</v>
      </c>
      <c r="E125" s="254">
        <f t="shared" si="34"/>
        <v>81005.190000000017</v>
      </c>
      <c r="F125" s="254">
        <f t="shared" si="34"/>
        <v>64485.49</v>
      </c>
      <c r="G125" s="254">
        <f t="shared" si="34"/>
        <v>78971.13</v>
      </c>
      <c r="H125" s="254">
        <f t="shared" si="34"/>
        <v>57454.87000000001</v>
      </c>
      <c r="I125" s="254">
        <f t="shared" si="34"/>
        <v>37854.709999999992</v>
      </c>
      <c r="J125" s="254">
        <f t="shared" si="34"/>
        <v>14297.58</v>
      </c>
      <c r="K125" s="254">
        <f>SUM(K114:K124)</f>
        <v>104687.66</v>
      </c>
      <c r="L125" s="254">
        <f>+'Tab-22 ProfitPlan'!C125</f>
        <v>182786.09801670877</v>
      </c>
      <c r="M125" s="254">
        <f t="shared" si="21"/>
        <v>78098.438016708766</v>
      </c>
      <c r="N125" s="224"/>
    </row>
    <row r="126" spans="1:14" x14ac:dyDescent="0.2">
      <c r="A126" s="220"/>
      <c r="B126" s="221"/>
      <c r="C126" s="255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24"/>
    </row>
    <row r="127" spans="1:14" x14ac:dyDescent="0.2"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7"/>
    </row>
    <row r="128" spans="1:14" ht="12" thickBot="1" x14ac:dyDescent="0.25">
      <c r="B128" s="222" t="s">
        <v>201</v>
      </c>
      <c r="C128" s="254">
        <f t="shared" ref="C128:J128" si="35">C97+C112+C125</f>
        <v>1708248.05</v>
      </c>
      <c r="D128" s="254">
        <f t="shared" si="35"/>
        <v>1752299.2699999998</v>
      </c>
      <c r="E128" s="254">
        <f t="shared" si="35"/>
        <v>1364083.37</v>
      </c>
      <c r="F128" s="254">
        <f t="shared" si="35"/>
        <v>1366402.38</v>
      </c>
      <c r="G128" s="254">
        <f t="shared" si="35"/>
        <v>1655753.46</v>
      </c>
      <c r="H128" s="254">
        <f t="shared" si="35"/>
        <v>1860133.5600000003</v>
      </c>
      <c r="I128" s="254">
        <f t="shared" si="35"/>
        <v>777591.21</v>
      </c>
      <c r="J128" s="254">
        <f t="shared" si="35"/>
        <v>403959.77</v>
      </c>
      <c r="K128" s="254">
        <f>K97+K112+K125</f>
        <v>532435.03</v>
      </c>
      <c r="L128" s="254">
        <f>+'Tab-22 ProfitPlan'!C128</f>
        <v>913331.88671573461</v>
      </c>
      <c r="M128" s="254">
        <f t="shared" si="21"/>
        <v>380896.85671573458</v>
      </c>
      <c r="N128" s="224"/>
    </row>
    <row r="129" spans="1:14" x14ac:dyDescent="0.2">
      <c r="A129" s="220"/>
      <c r="B129" s="221"/>
      <c r="C129" s="255"/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  <c r="N129" s="224"/>
    </row>
    <row r="130" spans="1:14" x14ac:dyDescent="0.2"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7"/>
    </row>
    <row r="131" spans="1:14" ht="12" thickBot="1" x14ac:dyDescent="0.25">
      <c r="A131" s="256"/>
      <c r="B131" s="212" t="s">
        <v>31</v>
      </c>
      <c r="C131" s="223">
        <f t="shared" ref="C131:J131" si="36">C78-C128</f>
        <v>4869754.6400000015</v>
      </c>
      <c r="D131" s="223">
        <f t="shared" si="36"/>
        <v>4314949.07</v>
      </c>
      <c r="E131" s="223">
        <f t="shared" si="36"/>
        <v>4881221.830000001</v>
      </c>
      <c r="F131" s="223">
        <f t="shared" si="36"/>
        <v>5384535.9899999993</v>
      </c>
      <c r="G131" s="223">
        <f t="shared" si="36"/>
        <v>6212596.7300000014</v>
      </c>
      <c r="H131" s="223">
        <f t="shared" si="36"/>
        <v>5758628.0300000003</v>
      </c>
      <c r="I131" s="223">
        <f t="shared" si="36"/>
        <v>3105382.89</v>
      </c>
      <c r="J131" s="223">
        <f t="shared" si="36"/>
        <v>2648621.0900000003</v>
      </c>
      <c r="K131" s="223">
        <f>K78-K128</f>
        <v>1324438.2100000002</v>
      </c>
      <c r="L131" s="223">
        <f>+'Tab-22 ProfitPlan'!C131</f>
        <v>2312487.3788384832</v>
      </c>
      <c r="M131" s="223">
        <f t="shared" si="21"/>
        <v>988049.16883848305</v>
      </c>
      <c r="N131" s="224"/>
    </row>
    <row r="132" spans="1:14" x14ac:dyDescent="0.2">
      <c r="A132" s="239"/>
      <c r="B132" s="257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7"/>
    </row>
    <row r="133" spans="1:14" ht="12" thickBot="1" x14ac:dyDescent="0.25">
      <c r="A133" s="211"/>
      <c r="B133" s="212" t="s">
        <v>49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7"/>
    </row>
    <row r="134" spans="1:14" x14ac:dyDescent="0.2">
      <c r="A134" s="836" t="s">
        <v>495</v>
      </c>
      <c r="B134" s="837" t="s">
        <v>883</v>
      </c>
      <c r="C134" s="748">
        <v>199338.31</v>
      </c>
      <c r="D134" s="748">
        <v>195467.02</v>
      </c>
      <c r="E134" s="748">
        <v>190595.82</v>
      </c>
      <c r="F134" s="748">
        <v>234761.02</v>
      </c>
      <c r="G134" s="748">
        <v>248295.07</v>
      </c>
      <c r="H134" s="748">
        <v>211600.22</v>
      </c>
      <c r="I134" s="748">
        <v>108839.57</v>
      </c>
      <c r="J134" s="748">
        <v>96114.3</v>
      </c>
      <c r="K134" s="748">
        <v>86605.84</v>
      </c>
      <c r="L134" s="216">
        <f>+'Tab-22 ProfitPlan'!C134</f>
        <v>27039.948</v>
      </c>
      <c r="M134" s="216">
        <f t="shared" si="21"/>
        <v>-59565.891999999993</v>
      </c>
      <c r="N134" s="217"/>
    </row>
    <row r="135" spans="1:14" ht="12" thickBot="1" x14ac:dyDescent="0.25">
      <c r="A135" s="836" t="s">
        <v>494</v>
      </c>
      <c r="B135" s="837" t="s">
        <v>882</v>
      </c>
      <c r="C135" s="842">
        <v>1030566.31</v>
      </c>
      <c r="D135" s="842">
        <v>1122436.05</v>
      </c>
      <c r="E135" s="842">
        <v>1159799.8600000001</v>
      </c>
      <c r="F135" s="842">
        <v>1205237.93</v>
      </c>
      <c r="G135" s="842">
        <v>1559293.01</v>
      </c>
      <c r="H135" s="842">
        <v>1531902.27</v>
      </c>
      <c r="I135" s="842">
        <v>975023.16</v>
      </c>
      <c r="J135" s="842">
        <v>799964.94</v>
      </c>
      <c r="K135" s="842">
        <v>669533.80000000005</v>
      </c>
      <c r="L135" s="219">
        <f>+'Tab-22 ProfitPlan'!C135</f>
        <v>579265.92000000004</v>
      </c>
      <c r="M135" s="219">
        <f t="shared" si="21"/>
        <v>-90267.88</v>
      </c>
      <c r="N135" s="217"/>
    </row>
    <row r="136" spans="1:14" x14ac:dyDescent="0.2">
      <c r="A136" s="220"/>
      <c r="B136" s="221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7"/>
    </row>
    <row r="137" spans="1:14" ht="12" thickBot="1" x14ac:dyDescent="0.25">
      <c r="A137" s="258"/>
      <c r="B137" s="222" t="s">
        <v>493</v>
      </c>
      <c r="C137" s="254">
        <f t="shared" ref="C137:J137" si="37">SUM(C134:C135)</f>
        <v>1229904.6200000001</v>
      </c>
      <c r="D137" s="254">
        <f t="shared" si="37"/>
        <v>1317903.07</v>
      </c>
      <c r="E137" s="254">
        <f t="shared" si="37"/>
        <v>1350395.6800000002</v>
      </c>
      <c r="F137" s="254">
        <f t="shared" si="37"/>
        <v>1439998.95</v>
      </c>
      <c r="G137" s="254">
        <f t="shared" si="37"/>
        <v>1807588.08</v>
      </c>
      <c r="H137" s="254">
        <f t="shared" si="37"/>
        <v>1743502.49</v>
      </c>
      <c r="I137" s="254">
        <f t="shared" si="37"/>
        <v>1083862.73</v>
      </c>
      <c r="J137" s="254">
        <f t="shared" si="37"/>
        <v>896079.24</v>
      </c>
      <c r="K137" s="254">
        <f t="shared" ref="K137" si="38">SUM(K134:K135)</f>
        <v>756139.64</v>
      </c>
      <c r="L137" s="254">
        <f>+'Tab-22 ProfitPlan'!C137</f>
        <v>606305.86800000002</v>
      </c>
      <c r="M137" s="254">
        <f t="shared" si="21"/>
        <v>-149833.772</v>
      </c>
      <c r="N137" s="224"/>
    </row>
    <row r="138" spans="1:14" x14ac:dyDescent="0.2">
      <c r="A138" s="220"/>
      <c r="B138" s="221"/>
      <c r="C138" s="255"/>
      <c r="D138" s="255"/>
      <c r="E138" s="255"/>
      <c r="F138" s="255"/>
      <c r="G138" s="255"/>
      <c r="H138" s="255"/>
      <c r="I138" s="255"/>
      <c r="J138" s="255"/>
      <c r="K138" s="255"/>
      <c r="L138" s="255"/>
      <c r="M138" s="255"/>
      <c r="N138" s="224"/>
    </row>
    <row r="139" spans="1:14" x14ac:dyDescent="0.2"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7"/>
    </row>
    <row r="140" spans="1:14" ht="12" thickBot="1" x14ac:dyDescent="0.25">
      <c r="A140" s="211"/>
      <c r="B140" s="212" t="s">
        <v>492</v>
      </c>
      <c r="C140" s="223">
        <f t="shared" ref="C140:J140" si="39">C131-C137</f>
        <v>3639850.0200000014</v>
      </c>
      <c r="D140" s="223">
        <f t="shared" si="39"/>
        <v>2997046</v>
      </c>
      <c r="E140" s="223">
        <f t="shared" si="39"/>
        <v>3530826.1500000008</v>
      </c>
      <c r="F140" s="223">
        <f t="shared" si="39"/>
        <v>3944537.0399999991</v>
      </c>
      <c r="G140" s="223">
        <f t="shared" si="39"/>
        <v>4405008.6500000013</v>
      </c>
      <c r="H140" s="223">
        <f t="shared" si="39"/>
        <v>4015125.54</v>
      </c>
      <c r="I140" s="223">
        <f t="shared" si="39"/>
        <v>2021520.1600000001</v>
      </c>
      <c r="J140" s="223">
        <f t="shared" si="39"/>
        <v>1752541.8500000003</v>
      </c>
      <c r="K140" s="223">
        <f t="shared" ref="K140" si="40">K131-K137</f>
        <v>568298.57000000018</v>
      </c>
      <c r="L140" s="223">
        <f>+'Tab-22 ProfitPlan'!C140</f>
        <v>1706181.510838483</v>
      </c>
      <c r="M140" s="223">
        <f t="shared" ref="M140:M203" si="41">+L140-K140</f>
        <v>1137882.9408384827</v>
      </c>
      <c r="N140" s="224"/>
    </row>
    <row r="141" spans="1:14" x14ac:dyDescent="0.2">
      <c r="A141" s="239"/>
      <c r="B141" s="210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7"/>
    </row>
    <row r="142" spans="1:14" x14ac:dyDescent="0.2">
      <c r="B142" s="249" t="s">
        <v>491</v>
      </c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7"/>
    </row>
    <row r="143" spans="1:14" ht="12" thickBot="1" x14ac:dyDescent="0.25">
      <c r="A143" s="211"/>
      <c r="B143" s="212" t="s">
        <v>50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7"/>
    </row>
    <row r="144" spans="1:14" x14ac:dyDescent="0.2">
      <c r="A144" s="836" t="s">
        <v>490</v>
      </c>
      <c r="B144" s="837" t="s">
        <v>881</v>
      </c>
      <c r="C144" s="748">
        <v>6385.13</v>
      </c>
      <c r="D144" s="748">
        <v>10766.26</v>
      </c>
      <c r="E144" s="748">
        <v>5330.6</v>
      </c>
      <c r="F144" s="748">
        <v>4396.5600000000004</v>
      </c>
      <c r="G144" s="748">
        <v>109.92</v>
      </c>
      <c r="H144" s="748">
        <v>2725.19</v>
      </c>
      <c r="I144" s="748">
        <v>0</v>
      </c>
      <c r="J144" s="748">
        <v>5209.72</v>
      </c>
      <c r="K144" s="748">
        <v>-1650.4</v>
      </c>
      <c r="L144" s="216">
        <f>+'Tab-22 ProfitPlan'!C144</f>
        <v>12303.976338461538</v>
      </c>
      <c r="M144" s="216">
        <f t="shared" si="41"/>
        <v>13954.376338461538</v>
      </c>
      <c r="N144" s="217"/>
    </row>
    <row r="145" spans="1:14" x14ac:dyDescent="0.2">
      <c r="A145" s="836" t="s">
        <v>489</v>
      </c>
      <c r="B145" s="837" t="s">
        <v>880</v>
      </c>
      <c r="C145" s="748">
        <v>84192.43</v>
      </c>
      <c r="D145" s="748">
        <v>86810.15</v>
      </c>
      <c r="E145" s="748">
        <v>77095.350000000006</v>
      </c>
      <c r="F145" s="748">
        <v>43349.88</v>
      </c>
      <c r="G145" s="748">
        <v>30449.13</v>
      </c>
      <c r="H145" s="748">
        <v>73146.86</v>
      </c>
      <c r="I145" s="748">
        <v>165263.23000000001</v>
      </c>
      <c r="J145" s="748">
        <v>104537.51</v>
      </c>
      <c r="K145" s="748">
        <v>64278.77</v>
      </c>
      <c r="L145" s="216">
        <f>+'Tab-22 ProfitPlan'!C145</f>
        <v>0</v>
      </c>
      <c r="M145" s="216">
        <f t="shared" si="41"/>
        <v>-64278.77</v>
      </c>
      <c r="N145" s="217"/>
    </row>
    <row r="146" spans="1:14" x14ac:dyDescent="0.2">
      <c r="A146" s="836" t="s">
        <v>488</v>
      </c>
      <c r="B146" s="837" t="s">
        <v>879</v>
      </c>
      <c r="C146" s="748">
        <v>299026.68</v>
      </c>
      <c r="D146" s="748">
        <v>437288.36</v>
      </c>
      <c r="E146" s="748">
        <v>433537.73</v>
      </c>
      <c r="F146" s="748">
        <v>514286.04</v>
      </c>
      <c r="G146" s="748">
        <v>497644.66</v>
      </c>
      <c r="H146" s="748">
        <v>714501.19</v>
      </c>
      <c r="I146" s="748">
        <v>477238.05</v>
      </c>
      <c r="J146" s="748">
        <v>355704.78</v>
      </c>
      <c r="K146" s="748">
        <v>343658.43</v>
      </c>
      <c r="L146" s="216">
        <f>+'Tab-22 ProfitPlan'!C146</f>
        <v>137835.58301538462</v>
      </c>
      <c r="M146" s="216">
        <f t="shared" si="41"/>
        <v>-205822.84698461537</v>
      </c>
      <c r="N146" s="217"/>
    </row>
    <row r="147" spans="1:14" x14ac:dyDescent="0.2">
      <c r="A147" s="836" t="s">
        <v>487</v>
      </c>
      <c r="B147" s="837" t="s">
        <v>878</v>
      </c>
      <c r="C147" s="748">
        <v>393121.05</v>
      </c>
      <c r="D147" s="748">
        <v>426022.01</v>
      </c>
      <c r="E147" s="748">
        <v>439726.44</v>
      </c>
      <c r="F147" s="748">
        <v>468791.67</v>
      </c>
      <c r="G147" s="748">
        <v>513231.83</v>
      </c>
      <c r="H147" s="748">
        <v>543064.18999999994</v>
      </c>
      <c r="I147" s="748">
        <v>392457.72</v>
      </c>
      <c r="J147" s="748">
        <v>324064.40999999997</v>
      </c>
      <c r="K147" s="748">
        <v>169079.33</v>
      </c>
      <c r="L147" s="216">
        <f>+'Tab-22 ProfitPlan'!C147</f>
        <v>406255.16816538456</v>
      </c>
      <c r="M147" s="216">
        <f t="shared" si="41"/>
        <v>237175.83816538457</v>
      </c>
      <c r="N147" s="217"/>
    </row>
    <row r="148" spans="1:14" x14ac:dyDescent="0.2">
      <c r="A148" s="836" t="s">
        <v>486</v>
      </c>
      <c r="B148" s="837" t="s">
        <v>485</v>
      </c>
      <c r="C148" s="748">
        <v>-5606.2</v>
      </c>
      <c r="D148" s="748">
        <v>-77654.19</v>
      </c>
      <c r="E148" s="748">
        <v>-7905.13</v>
      </c>
      <c r="F148" s="748">
        <v>-6713.64</v>
      </c>
      <c r="G148" s="748">
        <v>-21989.13</v>
      </c>
      <c r="H148" s="748">
        <v>-28795.99</v>
      </c>
      <c r="I148" s="748">
        <v>-69771.95</v>
      </c>
      <c r="J148" s="748">
        <v>-85483.75</v>
      </c>
      <c r="K148" s="748">
        <v>-211103.53</v>
      </c>
      <c r="L148" s="216">
        <f>+'Tab-22 ProfitPlan'!C148</f>
        <v>0</v>
      </c>
      <c r="M148" s="216">
        <f t="shared" si="41"/>
        <v>211103.53</v>
      </c>
      <c r="N148" s="217"/>
    </row>
    <row r="149" spans="1:14" x14ac:dyDescent="0.2">
      <c r="A149" s="836" t="s">
        <v>484</v>
      </c>
      <c r="B149" s="837" t="s">
        <v>483</v>
      </c>
      <c r="C149" s="748">
        <v>0</v>
      </c>
      <c r="D149" s="748">
        <v>0</v>
      </c>
      <c r="E149" s="748">
        <v>0</v>
      </c>
      <c r="F149" s="748">
        <v>0</v>
      </c>
      <c r="G149" s="748">
        <v>0</v>
      </c>
      <c r="H149" s="748"/>
      <c r="I149" s="748"/>
      <c r="J149" s="748">
        <v>0</v>
      </c>
      <c r="K149" s="748">
        <v>0</v>
      </c>
      <c r="L149" s="216">
        <f>+'Tab-22 ProfitPlan'!C149</f>
        <v>0</v>
      </c>
      <c r="M149" s="216">
        <f t="shared" si="41"/>
        <v>0</v>
      </c>
      <c r="N149" s="217"/>
    </row>
    <row r="150" spans="1:14" ht="12" thickBot="1" x14ac:dyDescent="0.25">
      <c r="A150" s="836" t="s">
        <v>482</v>
      </c>
      <c r="B150" s="837" t="s">
        <v>481</v>
      </c>
      <c r="C150" s="842">
        <v>0</v>
      </c>
      <c r="D150" s="842">
        <v>0</v>
      </c>
      <c r="E150" s="842">
        <v>0</v>
      </c>
      <c r="F150" s="842">
        <v>870</v>
      </c>
      <c r="G150" s="842">
        <v>7800</v>
      </c>
      <c r="H150" s="842">
        <v>2910</v>
      </c>
      <c r="I150" s="842"/>
      <c r="J150" s="842">
        <v>0</v>
      </c>
      <c r="K150" s="842">
        <v>701.5</v>
      </c>
      <c r="L150" s="219">
        <f>+'Tab-22 ProfitPlan'!C150</f>
        <v>0</v>
      </c>
      <c r="M150" s="219">
        <f t="shared" si="41"/>
        <v>-701.5</v>
      </c>
      <c r="N150" s="217"/>
    </row>
    <row r="151" spans="1:14" x14ac:dyDescent="0.2">
      <c r="A151" s="220"/>
      <c r="B151" s="221"/>
      <c r="C151" s="216"/>
      <c r="D151" s="216"/>
      <c r="E151" s="216"/>
      <c r="F151" s="216"/>
      <c r="G151" s="216"/>
      <c r="H151" s="216"/>
      <c r="I151" s="216"/>
      <c r="J151" s="216"/>
      <c r="K151" s="216"/>
      <c r="L151" s="216"/>
      <c r="M151" s="216"/>
      <c r="N151" s="217"/>
    </row>
    <row r="152" spans="1:14" ht="12" thickBot="1" x14ac:dyDescent="0.25">
      <c r="A152" s="211"/>
      <c r="B152" s="212" t="s">
        <v>480</v>
      </c>
      <c r="C152" s="223">
        <f t="shared" ref="C152" si="42">SUM(C143:C151)</f>
        <v>777119.09000000008</v>
      </c>
      <c r="D152" s="223">
        <f t="shared" ref="D152" si="43">SUM(D143:D151)</f>
        <v>883232.59000000008</v>
      </c>
      <c r="E152" s="223">
        <f t="shared" ref="E152" si="44">SUM(E143:E151)</f>
        <v>947784.99</v>
      </c>
      <c r="F152" s="223">
        <f t="shared" ref="F152" si="45">SUM(F143:F151)</f>
        <v>1024980.5099999999</v>
      </c>
      <c r="G152" s="223">
        <f t="shared" ref="G152" si="46">SUM(G143:G151)</f>
        <v>1027246.41</v>
      </c>
      <c r="H152" s="223">
        <f t="shared" ref="H152" si="47">SUM(H143:H151)</f>
        <v>1307551.44</v>
      </c>
      <c r="I152" s="223">
        <f t="shared" ref="I152" si="48">SUM(I143:I151)</f>
        <v>965187.05</v>
      </c>
      <c r="J152" s="223">
        <f t="shared" ref="J152" si="49">SUM(J143:J151)</f>
        <v>704032.66999999993</v>
      </c>
      <c r="K152" s="223">
        <f t="shared" ref="K152" si="50">SUM(K143:K151)</f>
        <v>364964.1</v>
      </c>
      <c r="L152" s="223">
        <f>+'Tab-22 ProfitPlan'!C152</f>
        <v>556394.72751923068</v>
      </c>
      <c r="M152" s="223">
        <f t="shared" si="41"/>
        <v>191430.62751923071</v>
      </c>
      <c r="N152" s="224"/>
    </row>
    <row r="153" spans="1:14" x14ac:dyDescent="0.2">
      <c r="C153" s="216"/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7"/>
    </row>
    <row r="154" spans="1:14" ht="12" thickBot="1" x14ac:dyDescent="0.25">
      <c r="A154" s="211"/>
      <c r="B154" s="212" t="s">
        <v>479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7"/>
    </row>
    <row r="155" spans="1:14" x14ac:dyDescent="0.2">
      <c r="A155" s="836" t="s">
        <v>478</v>
      </c>
      <c r="B155" s="837" t="s">
        <v>877</v>
      </c>
      <c r="C155" s="748">
        <v>64896.24</v>
      </c>
      <c r="D155" s="748">
        <v>74649.759999999995</v>
      </c>
      <c r="E155" s="748">
        <v>77962</v>
      </c>
      <c r="F155" s="748">
        <v>81125.84</v>
      </c>
      <c r="G155" s="748">
        <v>89509.440000000002</v>
      </c>
      <c r="H155" s="748">
        <v>103550.11</v>
      </c>
      <c r="I155" s="748">
        <v>73308.210000000006</v>
      </c>
      <c r="J155" s="748">
        <v>63425.760000000002</v>
      </c>
      <c r="K155" s="748">
        <v>47897.19</v>
      </c>
      <c r="L155" s="216">
        <f>+'Tab-22 ProfitPlan'!C155</f>
        <v>37439.754461538469</v>
      </c>
      <c r="M155" s="216">
        <f t="shared" si="41"/>
        <v>-10457.435538461534</v>
      </c>
      <c r="N155" s="217"/>
    </row>
    <row r="156" spans="1:14" x14ac:dyDescent="0.2">
      <c r="A156" s="836" t="s">
        <v>477</v>
      </c>
      <c r="B156" s="837" t="s">
        <v>876</v>
      </c>
      <c r="C156" s="748">
        <v>107317.12</v>
      </c>
      <c r="D156" s="748">
        <v>115283.95</v>
      </c>
      <c r="E156" s="748">
        <v>138566.06</v>
      </c>
      <c r="F156" s="748">
        <v>132703.24</v>
      </c>
      <c r="G156" s="748">
        <v>149070.22</v>
      </c>
      <c r="H156" s="748">
        <v>214058.52</v>
      </c>
      <c r="I156" s="748">
        <v>63193.42</v>
      </c>
      <c r="J156" s="748">
        <v>82015.850000000006</v>
      </c>
      <c r="K156" s="748">
        <v>46820.97</v>
      </c>
      <c r="L156" s="216">
        <f>+'Tab-22 ProfitPlan'!C156</f>
        <v>46799.693076923075</v>
      </c>
      <c r="M156" s="216">
        <f t="shared" si="41"/>
        <v>-21.276923076926323</v>
      </c>
      <c r="N156" s="217"/>
    </row>
    <row r="157" spans="1:14" ht="12" thickBot="1" x14ac:dyDescent="0.25">
      <c r="A157" s="836" t="s">
        <v>476</v>
      </c>
      <c r="B157" s="837" t="s">
        <v>875</v>
      </c>
      <c r="C157" s="842">
        <v>-16623.84</v>
      </c>
      <c r="D157" s="842">
        <v>-28776.2</v>
      </c>
      <c r="E157" s="842">
        <v>-6563.61</v>
      </c>
      <c r="F157" s="842">
        <v>-19014.009999999998</v>
      </c>
      <c r="G157" s="842">
        <v>-90579.72</v>
      </c>
      <c r="H157" s="842">
        <v>-32913.919999999998</v>
      </c>
      <c r="I157" s="842">
        <v>-128561.82</v>
      </c>
      <c r="J157" s="842">
        <v>-43435.92</v>
      </c>
      <c r="K157" s="842">
        <v>-11841.32</v>
      </c>
      <c r="L157" s="219">
        <f>+'Tab-22 ProfitPlan'!C157</f>
        <v>0</v>
      </c>
      <c r="M157" s="219">
        <f t="shared" si="41"/>
        <v>11841.32</v>
      </c>
      <c r="N157" s="217"/>
    </row>
    <row r="158" spans="1:14" x14ac:dyDescent="0.2">
      <c r="A158" s="220"/>
      <c r="B158" s="221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7"/>
    </row>
    <row r="159" spans="1:14" ht="12" thickBot="1" x14ac:dyDescent="0.25">
      <c r="A159" s="211"/>
      <c r="B159" s="212" t="s">
        <v>475</v>
      </c>
      <c r="C159" s="223">
        <f t="shared" ref="C159" si="51">SUM(C154:C158)</f>
        <v>155589.51999999999</v>
      </c>
      <c r="D159" s="223">
        <f t="shared" ref="D159" si="52">SUM(D154:D158)</f>
        <v>161157.50999999998</v>
      </c>
      <c r="E159" s="223">
        <f t="shared" ref="E159" si="53">SUM(E154:E158)</f>
        <v>209964.45</v>
      </c>
      <c r="F159" s="223">
        <f t="shared" ref="F159" si="54">SUM(F154:F158)</f>
        <v>194815.06999999998</v>
      </c>
      <c r="G159" s="223">
        <f t="shared" ref="G159" si="55">SUM(G154:G158)</f>
        <v>147999.94</v>
      </c>
      <c r="H159" s="223">
        <f t="shared" ref="H159" si="56">SUM(H154:H158)</f>
        <v>284694.71000000002</v>
      </c>
      <c r="I159" s="223">
        <f t="shared" ref="I159" si="57">SUM(I154:I158)</f>
        <v>7939.8099999999977</v>
      </c>
      <c r="J159" s="223">
        <f t="shared" ref="J159" si="58">SUM(J154:J158)</f>
        <v>102005.69000000002</v>
      </c>
      <c r="K159" s="223">
        <f t="shared" ref="K159" si="59">SUM(K154:K158)</f>
        <v>82876.84</v>
      </c>
      <c r="L159" s="223">
        <f>+'Tab-22 ProfitPlan'!C159</f>
        <v>84239.447538461536</v>
      </c>
      <c r="M159" s="223">
        <f t="shared" si="41"/>
        <v>1362.6075384615397</v>
      </c>
      <c r="N159" s="224"/>
    </row>
    <row r="160" spans="1:14" x14ac:dyDescent="0.2">
      <c r="C160" s="216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7"/>
    </row>
    <row r="161" spans="1:14" ht="12" thickBot="1" x14ac:dyDescent="0.25">
      <c r="A161" s="211"/>
      <c r="B161" s="212" t="s">
        <v>474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7"/>
    </row>
    <row r="162" spans="1:14" x14ac:dyDescent="0.2">
      <c r="A162" s="836" t="s">
        <v>473</v>
      </c>
      <c r="B162" s="837" t="s">
        <v>874</v>
      </c>
      <c r="C162" s="748">
        <v>160576.62</v>
      </c>
      <c r="D162" s="748">
        <v>177878.82</v>
      </c>
      <c r="E162" s="748">
        <v>184191.51</v>
      </c>
      <c r="F162" s="748">
        <v>193867.89</v>
      </c>
      <c r="G162" s="748">
        <v>209640.75</v>
      </c>
      <c r="H162" s="748">
        <v>243796.41</v>
      </c>
      <c r="I162" s="748">
        <v>155307.41</v>
      </c>
      <c r="J162" s="748">
        <v>129022.39</v>
      </c>
      <c r="K162" s="748">
        <v>89737.63</v>
      </c>
      <c r="L162" s="216">
        <f>+'Tab-22 ProfitPlan'!C162</f>
        <v>76981.070639199999</v>
      </c>
      <c r="M162" s="216">
        <f t="shared" si="41"/>
        <v>-12756.559360800005</v>
      </c>
      <c r="N162" s="217"/>
    </row>
    <row r="163" spans="1:14" x14ac:dyDescent="0.2">
      <c r="A163" s="836" t="s">
        <v>472</v>
      </c>
      <c r="B163" s="837" t="s">
        <v>873</v>
      </c>
      <c r="C163" s="748">
        <v>0</v>
      </c>
      <c r="D163" s="748">
        <v>0</v>
      </c>
      <c r="E163" s="748">
        <v>0</v>
      </c>
      <c r="F163" s="748">
        <v>0</v>
      </c>
      <c r="G163" s="748">
        <v>0</v>
      </c>
      <c r="H163" s="748"/>
      <c r="I163" s="748"/>
      <c r="J163" s="748">
        <v>0</v>
      </c>
      <c r="K163" s="748">
        <v>0</v>
      </c>
      <c r="L163" s="216">
        <f>+'Tab-22 ProfitPlan'!C163</f>
        <v>18080.630624336536</v>
      </c>
      <c r="M163" s="216">
        <f t="shared" si="41"/>
        <v>18080.630624336536</v>
      </c>
      <c r="N163" s="217"/>
    </row>
    <row r="164" spans="1:14" x14ac:dyDescent="0.2">
      <c r="A164" s="836" t="s">
        <v>471</v>
      </c>
      <c r="B164" s="837" t="s">
        <v>872</v>
      </c>
      <c r="C164" s="748">
        <v>2633.63</v>
      </c>
      <c r="D164" s="748">
        <v>3420.75</v>
      </c>
      <c r="E164" s="748">
        <v>2976.64</v>
      </c>
      <c r="F164" s="748">
        <v>2759.56</v>
      </c>
      <c r="G164" s="748">
        <v>3231.39</v>
      </c>
      <c r="H164" s="748">
        <v>3318.4</v>
      </c>
      <c r="I164" s="748">
        <v>2461.2199999999998</v>
      </c>
      <c r="J164" s="748">
        <v>2216.66</v>
      </c>
      <c r="K164" s="748">
        <v>1633.92</v>
      </c>
      <c r="L164" s="216">
        <f>+'Tab-22 ProfitPlan'!C164</f>
        <v>1288</v>
      </c>
      <c r="M164" s="216">
        <f t="shared" si="41"/>
        <v>-345.92000000000007</v>
      </c>
      <c r="N164" s="217"/>
    </row>
    <row r="165" spans="1:14" x14ac:dyDescent="0.2">
      <c r="A165" s="836" t="s">
        <v>470</v>
      </c>
      <c r="B165" s="837" t="s">
        <v>871</v>
      </c>
      <c r="C165" s="748">
        <v>3066.42</v>
      </c>
      <c r="D165" s="748">
        <v>3146.32</v>
      </c>
      <c r="E165" s="748">
        <v>1365.76</v>
      </c>
      <c r="F165" s="748">
        <v>1080.08</v>
      </c>
      <c r="G165" s="748">
        <v>2054.7199999999998</v>
      </c>
      <c r="H165" s="748">
        <v>3229.88</v>
      </c>
      <c r="I165" s="748">
        <v>908.64</v>
      </c>
      <c r="J165" s="748">
        <v>9118.77</v>
      </c>
      <c r="K165" s="748">
        <v>6314.16</v>
      </c>
      <c r="L165" s="216">
        <f>+'Tab-22 ProfitPlan'!C165</f>
        <v>3772.2300000000023</v>
      </c>
      <c r="M165" s="216">
        <f t="shared" si="41"/>
        <v>-2541.9299999999976</v>
      </c>
      <c r="N165" s="217"/>
    </row>
    <row r="166" spans="1:14" x14ac:dyDescent="0.2">
      <c r="A166" s="836" t="s">
        <v>469</v>
      </c>
      <c r="B166" s="837" t="s">
        <v>870</v>
      </c>
      <c r="C166" s="748">
        <v>13555.66</v>
      </c>
      <c r="D166" s="748">
        <v>18519.669999999998</v>
      </c>
      <c r="E166" s="748">
        <v>18275.560000000001</v>
      </c>
      <c r="F166" s="748">
        <v>11921.25</v>
      </c>
      <c r="G166" s="748">
        <v>15476.88</v>
      </c>
      <c r="H166" s="748">
        <v>18686.18</v>
      </c>
      <c r="I166" s="748">
        <v>16892.759999999998</v>
      </c>
      <c r="J166" s="748">
        <v>18159</v>
      </c>
      <c r="K166" s="748">
        <v>4465.17</v>
      </c>
      <c r="L166" s="216">
        <f>+'Tab-22 ProfitPlan'!C166</f>
        <v>8972.1747032884632</v>
      </c>
      <c r="M166" s="216">
        <f t="shared" si="41"/>
        <v>4507.0047032884631</v>
      </c>
      <c r="N166" s="217"/>
    </row>
    <row r="167" spans="1:14" ht="12" thickBot="1" x14ac:dyDescent="0.25">
      <c r="A167" s="839" t="s">
        <v>468</v>
      </c>
      <c r="B167" s="837" t="s">
        <v>467</v>
      </c>
      <c r="C167" s="842">
        <v>0</v>
      </c>
      <c r="D167" s="842">
        <v>0</v>
      </c>
      <c r="E167" s="842">
        <v>0</v>
      </c>
      <c r="F167" s="842">
        <v>0</v>
      </c>
      <c r="G167" s="842">
        <v>0</v>
      </c>
      <c r="H167" s="842"/>
      <c r="I167" s="842"/>
      <c r="J167" s="842">
        <v>0</v>
      </c>
      <c r="K167" s="842">
        <v>0</v>
      </c>
      <c r="L167" s="219">
        <f>+'Tab-22 ProfitPlan'!C167</f>
        <v>0</v>
      </c>
      <c r="M167" s="219">
        <f t="shared" si="41"/>
        <v>0</v>
      </c>
      <c r="N167" s="217"/>
    </row>
    <row r="168" spans="1:14" x14ac:dyDescent="0.2">
      <c r="A168" s="220"/>
      <c r="B168" s="221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7"/>
    </row>
    <row r="169" spans="1:14" ht="12" thickBot="1" x14ac:dyDescent="0.25">
      <c r="A169" s="211"/>
      <c r="B169" s="212" t="s">
        <v>466</v>
      </c>
      <c r="C169" s="223">
        <f t="shared" ref="C169" si="60">SUM(C161:C168)</f>
        <v>179832.33000000002</v>
      </c>
      <c r="D169" s="223">
        <f t="shared" ref="D169" si="61">SUM(D161:D168)</f>
        <v>202965.56</v>
      </c>
      <c r="E169" s="223">
        <f t="shared" ref="E169" si="62">SUM(E161:E168)</f>
        <v>206809.47000000003</v>
      </c>
      <c r="F169" s="223">
        <f t="shared" ref="F169" si="63">SUM(F161:F168)</f>
        <v>209628.78</v>
      </c>
      <c r="G169" s="223">
        <f t="shared" ref="G169" si="64">SUM(G161:G168)</f>
        <v>230403.74000000002</v>
      </c>
      <c r="H169" s="223">
        <f t="shared" ref="H169" si="65">SUM(H161:H168)</f>
        <v>269030.87</v>
      </c>
      <c r="I169" s="223">
        <f t="shared" ref="I169" si="66">SUM(I161:I168)</f>
        <v>175570.03000000003</v>
      </c>
      <c r="J169" s="223">
        <f t="shared" ref="J169" si="67">SUM(J161:J168)</f>
        <v>158516.81999999998</v>
      </c>
      <c r="K169" s="223">
        <f t="shared" ref="K169" si="68">SUM(K161:K168)</f>
        <v>102150.88</v>
      </c>
      <c r="L169" s="223">
        <f>+'Tab-22 ProfitPlan'!C169</f>
        <v>109094.10596682499</v>
      </c>
      <c r="M169" s="223">
        <f t="shared" si="41"/>
        <v>6943.2259668249899</v>
      </c>
      <c r="N169" s="224"/>
    </row>
    <row r="170" spans="1:14" x14ac:dyDescent="0.2">
      <c r="C170" s="216"/>
      <c r="D170" s="216"/>
      <c r="E170" s="216"/>
      <c r="F170" s="216"/>
      <c r="G170" s="216"/>
      <c r="H170" s="216"/>
      <c r="I170" s="216"/>
      <c r="J170" s="216"/>
      <c r="K170" s="216"/>
      <c r="L170" s="216"/>
      <c r="M170" s="216"/>
      <c r="N170" s="217"/>
    </row>
    <row r="171" spans="1:14" s="59" customFormat="1" x14ac:dyDescent="0.2">
      <c r="A171" s="239"/>
      <c r="B171" s="240" t="s">
        <v>465</v>
      </c>
      <c r="C171" s="259"/>
      <c r="D171" s="259"/>
      <c r="E171" s="259"/>
      <c r="F171" s="259"/>
      <c r="G171" s="259"/>
      <c r="H171" s="259"/>
      <c r="I171" s="259"/>
      <c r="J171" s="259"/>
      <c r="K171" s="259"/>
      <c r="L171" s="259"/>
      <c r="M171" s="259"/>
      <c r="N171" s="259"/>
    </row>
    <row r="172" spans="1:14" x14ac:dyDescent="0.2">
      <c r="A172" s="836" t="s">
        <v>464</v>
      </c>
      <c r="B172" s="837" t="s">
        <v>869</v>
      </c>
      <c r="C172" s="748">
        <v>191206.88</v>
      </c>
      <c r="D172" s="748">
        <v>228839.36</v>
      </c>
      <c r="E172" s="748">
        <v>273110.83</v>
      </c>
      <c r="F172" s="748">
        <v>316024.28999999998</v>
      </c>
      <c r="G172" s="748">
        <v>371874.88</v>
      </c>
      <c r="H172" s="748">
        <v>413079.22</v>
      </c>
      <c r="I172" s="748">
        <v>331560.75</v>
      </c>
      <c r="J172" s="748">
        <v>266110.59000000003</v>
      </c>
      <c r="K172" s="748">
        <v>185655.14</v>
      </c>
      <c r="L172" s="216">
        <f>+'Tab-22 ProfitPlan'!C172</f>
        <v>135238.20000000007</v>
      </c>
      <c r="M172" s="216">
        <f t="shared" si="41"/>
        <v>-50416.939999999944</v>
      </c>
      <c r="N172" s="217"/>
    </row>
    <row r="173" spans="1:14" x14ac:dyDescent="0.2">
      <c r="A173" s="836" t="s">
        <v>462</v>
      </c>
      <c r="B173" s="837" t="s">
        <v>868</v>
      </c>
      <c r="C173" s="748">
        <v>-18124.16</v>
      </c>
      <c r="D173" s="748">
        <v>-36727.31</v>
      </c>
      <c r="E173" s="748">
        <v>-29972.47</v>
      </c>
      <c r="F173" s="748">
        <v>-30514</v>
      </c>
      <c r="G173" s="748">
        <v>-14706.82</v>
      </c>
      <c r="H173" s="748">
        <v>-9644.64</v>
      </c>
      <c r="I173" s="748">
        <v>-9644.64</v>
      </c>
      <c r="J173" s="748">
        <v>-13911.7</v>
      </c>
      <c r="K173" s="748">
        <v>-29041.99</v>
      </c>
      <c r="L173" s="216">
        <f>+'Tab-22 ProfitPlan'!C173</f>
        <v>-21241.680000000004</v>
      </c>
      <c r="M173" s="216">
        <f t="shared" si="41"/>
        <v>7800.3099999999977</v>
      </c>
      <c r="N173" s="217"/>
    </row>
    <row r="174" spans="1:14" x14ac:dyDescent="0.2">
      <c r="A174" s="839" t="s">
        <v>461</v>
      </c>
      <c r="B174" s="837" t="s">
        <v>460</v>
      </c>
      <c r="C174" s="748">
        <v>0</v>
      </c>
      <c r="D174" s="748">
        <v>0</v>
      </c>
      <c r="E174" s="748">
        <v>0</v>
      </c>
      <c r="F174" s="748">
        <v>2306.42</v>
      </c>
      <c r="G174" s="748">
        <v>-1743</v>
      </c>
      <c r="H174" s="748"/>
      <c r="I174" s="748"/>
      <c r="J174" s="748">
        <v>-5985.24</v>
      </c>
      <c r="K174" s="748">
        <v>-14963.1</v>
      </c>
      <c r="L174" s="216">
        <f>+'Tab-22 ProfitPlan'!C174</f>
        <v>0</v>
      </c>
      <c r="M174" s="216">
        <f t="shared" si="41"/>
        <v>14963.1</v>
      </c>
      <c r="N174" s="217"/>
    </row>
    <row r="175" spans="1:14" x14ac:dyDescent="0.2">
      <c r="A175" s="836" t="s">
        <v>459</v>
      </c>
      <c r="B175" s="837" t="s">
        <v>458</v>
      </c>
      <c r="C175" s="748">
        <v>2078</v>
      </c>
      <c r="D175" s="748">
        <v>1955</v>
      </c>
      <c r="E175" s="748">
        <v>1703</v>
      </c>
      <c r="F175" s="748">
        <v>1680.8</v>
      </c>
      <c r="G175" s="748">
        <v>5532.9</v>
      </c>
      <c r="H175" s="748">
        <v>4547.45</v>
      </c>
      <c r="I175" s="748">
        <v>3290</v>
      </c>
      <c r="J175" s="748">
        <v>2657</v>
      </c>
      <c r="K175" s="748">
        <v>848</v>
      </c>
      <c r="L175" s="216">
        <f>+'Tab-22 ProfitPlan'!C175</f>
        <v>850</v>
      </c>
      <c r="M175" s="216">
        <f t="shared" si="41"/>
        <v>2</v>
      </c>
      <c r="N175" s="217"/>
    </row>
    <row r="176" spans="1:14" x14ac:dyDescent="0.2">
      <c r="A176" s="836" t="s">
        <v>457</v>
      </c>
      <c r="B176" s="837" t="s">
        <v>867</v>
      </c>
      <c r="C176" s="748">
        <v>12840.22</v>
      </c>
      <c r="D176" s="748">
        <v>15469.23</v>
      </c>
      <c r="E176" s="748">
        <v>16873.419999999998</v>
      </c>
      <c r="F176" s="748">
        <v>18119.78</v>
      </c>
      <c r="G176" s="748">
        <v>20350.349999999999</v>
      </c>
      <c r="H176" s="748">
        <v>21854.33</v>
      </c>
      <c r="I176" s="748">
        <v>17174.13</v>
      </c>
      <c r="J176" s="748">
        <v>13879.02</v>
      </c>
      <c r="K176" s="748">
        <v>10965.73</v>
      </c>
      <c r="L176" s="216">
        <f>+'Tab-22 ProfitPlan'!C176</f>
        <v>9469.7999999999975</v>
      </c>
      <c r="M176" s="216">
        <f t="shared" si="41"/>
        <v>-1495.9300000000021</v>
      </c>
      <c r="N176" s="217"/>
    </row>
    <row r="177" spans="1:14" x14ac:dyDescent="0.2">
      <c r="A177" s="836" t="s">
        <v>455</v>
      </c>
      <c r="B177" s="837" t="s">
        <v>866</v>
      </c>
      <c r="C177" s="748">
        <v>0</v>
      </c>
      <c r="D177" s="748">
        <v>0</v>
      </c>
      <c r="E177" s="748">
        <v>2000</v>
      </c>
      <c r="F177" s="748">
        <v>0</v>
      </c>
      <c r="G177" s="748">
        <v>0</v>
      </c>
      <c r="H177" s="748"/>
      <c r="I177" s="748"/>
      <c r="J177" s="748">
        <v>0</v>
      </c>
      <c r="K177" s="748">
        <v>0</v>
      </c>
      <c r="L177" s="217">
        <f>+'Tab-22 ProfitPlan'!C177</f>
        <v>0</v>
      </c>
      <c r="M177" s="217">
        <f t="shared" si="41"/>
        <v>0</v>
      </c>
      <c r="N177" s="217"/>
    </row>
    <row r="178" spans="1:14" x14ac:dyDescent="0.2">
      <c r="A178" s="836" t="s">
        <v>453</v>
      </c>
      <c r="B178" s="837" t="s">
        <v>452</v>
      </c>
      <c r="C178" s="748">
        <v>8590.8700000000008</v>
      </c>
      <c r="D178" s="748">
        <v>13585.58</v>
      </c>
      <c r="E178" s="748">
        <v>9940.52</v>
      </c>
      <c r="F178" s="748">
        <v>13463.42</v>
      </c>
      <c r="G178" s="748">
        <v>12285.58</v>
      </c>
      <c r="H178" s="748">
        <v>14756.42</v>
      </c>
      <c r="I178" s="748">
        <v>9435.61</v>
      </c>
      <c r="J178" s="748">
        <v>14345.27</v>
      </c>
      <c r="K178" s="748">
        <v>9839.26</v>
      </c>
      <c r="L178" s="217">
        <f>+'Tab-22 ProfitPlan'!C178</f>
        <v>9800</v>
      </c>
      <c r="M178" s="217">
        <f t="shared" si="41"/>
        <v>-39.260000000000218</v>
      </c>
      <c r="N178" s="217"/>
    </row>
    <row r="179" spans="1:14" x14ac:dyDescent="0.2">
      <c r="A179" s="836" t="s">
        <v>451</v>
      </c>
      <c r="B179" s="837" t="s">
        <v>450</v>
      </c>
      <c r="C179" s="748">
        <v>7132.95</v>
      </c>
      <c r="D179" s="748">
        <v>10553.14</v>
      </c>
      <c r="E179" s="748">
        <v>7095.69</v>
      </c>
      <c r="F179" s="748">
        <v>8616.5</v>
      </c>
      <c r="G179" s="748">
        <v>8316.9699999999993</v>
      </c>
      <c r="H179" s="748">
        <v>18240.740000000002</v>
      </c>
      <c r="I179" s="748">
        <v>6676.66</v>
      </c>
      <c r="J179" s="748">
        <v>6166.8</v>
      </c>
      <c r="K179" s="748">
        <v>1593.53</v>
      </c>
      <c r="L179" s="217">
        <f>+'Tab-22 ProfitPlan'!C179</f>
        <v>1600</v>
      </c>
      <c r="M179" s="217">
        <f t="shared" si="41"/>
        <v>6.4700000000000273</v>
      </c>
      <c r="N179" s="217"/>
    </row>
    <row r="180" spans="1:14" x14ac:dyDescent="0.2">
      <c r="A180" s="836" t="s">
        <v>449</v>
      </c>
      <c r="B180" s="837" t="s">
        <v>1022</v>
      </c>
      <c r="C180" s="748"/>
      <c r="D180" s="748"/>
      <c r="E180" s="748">
        <v>5952</v>
      </c>
      <c r="F180" s="748">
        <v>8928</v>
      </c>
      <c r="G180" s="748">
        <v>7440</v>
      </c>
      <c r="H180" s="748"/>
      <c r="I180" s="748"/>
      <c r="J180" s="748">
        <v>0</v>
      </c>
      <c r="K180" s="748">
        <v>0</v>
      </c>
      <c r="L180" s="217">
        <f>+'Tab-22 ProfitPlan'!C180</f>
        <v>0</v>
      </c>
      <c r="M180" s="217">
        <f t="shared" si="41"/>
        <v>0</v>
      </c>
      <c r="N180" s="217"/>
    </row>
    <row r="181" spans="1:14" x14ac:dyDescent="0.2">
      <c r="A181" s="836" t="s">
        <v>447</v>
      </c>
      <c r="B181" s="837" t="s">
        <v>1023</v>
      </c>
      <c r="C181" s="748"/>
      <c r="D181" s="748"/>
      <c r="E181" s="748">
        <v>151.6</v>
      </c>
      <c r="F181" s="748">
        <v>0</v>
      </c>
      <c r="G181" s="748">
        <v>0</v>
      </c>
      <c r="H181" s="748"/>
      <c r="I181" s="748"/>
      <c r="J181" s="748">
        <v>0</v>
      </c>
      <c r="K181" s="748">
        <v>0</v>
      </c>
      <c r="L181" s="217">
        <f>+'Tab-22 ProfitPlan'!C181</f>
        <v>0</v>
      </c>
      <c r="M181" s="217">
        <f t="shared" si="41"/>
        <v>0</v>
      </c>
      <c r="N181" s="217"/>
    </row>
    <row r="182" spans="1:14" x14ac:dyDescent="0.2">
      <c r="A182" s="836" t="s">
        <v>445</v>
      </c>
      <c r="B182" s="837" t="s">
        <v>1024</v>
      </c>
      <c r="C182" s="748"/>
      <c r="D182" s="748"/>
      <c r="E182" s="748">
        <v>2144.81</v>
      </c>
      <c r="F182" s="748">
        <v>0</v>
      </c>
      <c r="G182" s="748">
        <v>0</v>
      </c>
      <c r="H182" s="748"/>
      <c r="I182" s="748"/>
      <c r="J182" s="748">
        <v>0</v>
      </c>
      <c r="K182" s="748">
        <v>0</v>
      </c>
      <c r="L182" s="217">
        <f>+'Tab-22 ProfitPlan'!C182</f>
        <v>0</v>
      </c>
      <c r="M182" s="217">
        <f t="shared" si="41"/>
        <v>0</v>
      </c>
      <c r="N182" s="217"/>
    </row>
    <row r="183" spans="1:14" x14ac:dyDescent="0.2">
      <c r="A183" s="836" t="s">
        <v>443</v>
      </c>
      <c r="B183" s="837" t="s">
        <v>442</v>
      </c>
      <c r="C183" s="748">
        <v>12875</v>
      </c>
      <c r="D183" s="748">
        <v>22869.89</v>
      </c>
      <c r="E183" s="748">
        <v>26985.25</v>
      </c>
      <c r="F183" s="748">
        <v>30468.2</v>
      </c>
      <c r="G183" s="748">
        <v>34345.040000000001</v>
      </c>
      <c r="H183" s="748">
        <v>33526.93</v>
      </c>
      <c r="I183" s="748">
        <v>27880.37</v>
      </c>
      <c r="J183" s="748">
        <v>21856.93</v>
      </c>
      <c r="K183" s="748">
        <v>16578.07</v>
      </c>
      <c r="L183" s="217">
        <f>+'Tab-22 ProfitPlan'!C183</f>
        <v>16000</v>
      </c>
      <c r="M183" s="217">
        <f t="shared" si="41"/>
        <v>-578.06999999999971</v>
      </c>
      <c r="N183" s="217"/>
    </row>
    <row r="184" spans="1:14" x14ac:dyDescent="0.2">
      <c r="A184" s="836" t="s">
        <v>441</v>
      </c>
      <c r="B184" s="837" t="s">
        <v>440</v>
      </c>
      <c r="C184" s="748">
        <v>3385.74</v>
      </c>
      <c r="D184" s="748">
        <v>5599.05</v>
      </c>
      <c r="E184" s="748">
        <v>7960.93</v>
      </c>
      <c r="F184" s="748">
        <v>7694.44</v>
      </c>
      <c r="G184" s="748">
        <v>6687.56</v>
      </c>
      <c r="H184" s="748">
        <v>9426.76</v>
      </c>
      <c r="I184" s="748">
        <v>248.47</v>
      </c>
      <c r="J184" s="748">
        <v>365.57</v>
      </c>
      <c r="K184" s="748">
        <v>200</v>
      </c>
      <c r="L184" s="217">
        <f>+'Tab-22 ProfitPlan'!C184</f>
        <v>200</v>
      </c>
      <c r="M184" s="217">
        <f t="shared" si="41"/>
        <v>0</v>
      </c>
      <c r="N184" s="217"/>
    </row>
    <row r="185" spans="1:14" x14ac:dyDescent="0.2">
      <c r="A185" s="836" t="s">
        <v>439</v>
      </c>
      <c r="B185" s="837" t="s">
        <v>438</v>
      </c>
      <c r="C185" s="748">
        <v>0</v>
      </c>
      <c r="D185" s="748">
        <v>0</v>
      </c>
      <c r="E185" s="748">
        <v>0</v>
      </c>
      <c r="F185" s="748">
        <v>0</v>
      </c>
      <c r="G185" s="748">
        <v>1500</v>
      </c>
      <c r="H185" s="748"/>
      <c r="I185" s="748"/>
      <c r="J185" s="748">
        <v>0</v>
      </c>
      <c r="K185" s="748">
        <v>0</v>
      </c>
      <c r="L185" s="216">
        <f>+'Tab-22 ProfitPlan'!C185</f>
        <v>0</v>
      </c>
      <c r="M185" s="216">
        <f t="shared" si="41"/>
        <v>0</v>
      </c>
      <c r="N185" s="217"/>
    </row>
    <row r="186" spans="1:14" ht="12" thickBot="1" x14ac:dyDescent="0.25">
      <c r="A186" s="836" t="s">
        <v>437</v>
      </c>
      <c r="B186" s="837" t="s">
        <v>865</v>
      </c>
      <c r="C186" s="842">
        <v>0</v>
      </c>
      <c r="D186" s="842">
        <v>0</v>
      </c>
      <c r="E186" s="842">
        <v>73.37</v>
      </c>
      <c r="F186" s="842">
        <v>266.85000000000002</v>
      </c>
      <c r="G186" s="842">
        <v>663.02</v>
      </c>
      <c r="H186" s="842">
        <v>614.28</v>
      </c>
      <c r="I186" s="842"/>
      <c r="J186" s="842">
        <v>1063.45</v>
      </c>
      <c r="K186" s="842">
        <v>0</v>
      </c>
      <c r="L186" s="219">
        <f>+'Tab-22 ProfitPlan'!C186</f>
        <v>0</v>
      </c>
      <c r="M186" s="219">
        <f t="shared" si="41"/>
        <v>0</v>
      </c>
      <c r="N186" s="217"/>
    </row>
    <row r="187" spans="1:14" x14ac:dyDescent="0.2">
      <c r="A187" s="220"/>
      <c r="B187" s="221"/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7"/>
    </row>
    <row r="188" spans="1:14" ht="12" thickBot="1" x14ac:dyDescent="0.25">
      <c r="A188" s="211"/>
      <c r="B188" s="247" t="s">
        <v>435</v>
      </c>
      <c r="C188" s="223">
        <f t="shared" ref="C188" si="69">SUM(C171:C187)</f>
        <v>219985.5</v>
      </c>
      <c r="D188" s="223">
        <f t="shared" ref="D188" si="70">SUM(D171:D187)</f>
        <v>262143.94</v>
      </c>
      <c r="E188" s="223">
        <f t="shared" ref="E188" si="71">SUM(E171:E187)</f>
        <v>324018.95</v>
      </c>
      <c r="F188" s="223">
        <f t="shared" ref="F188" si="72">SUM(F171:F187)</f>
        <v>377054.6999999999</v>
      </c>
      <c r="G188" s="223">
        <f t="shared" ref="G188" si="73">SUM(G171:G187)</f>
        <v>452546.48</v>
      </c>
      <c r="H188" s="223">
        <f t="shared" ref="H188" si="74">SUM(H171:H187)</f>
        <v>506401.49</v>
      </c>
      <c r="I188" s="223">
        <f t="shared" ref="I188" si="75">SUM(I171:I187)</f>
        <v>386621.34999999992</v>
      </c>
      <c r="J188" s="223">
        <f t="shared" ref="J188" si="76">SUM(J171:J187)</f>
        <v>306547.69000000006</v>
      </c>
      <c r="K188" s="223">
        <f t="shared" ref="K188" si="77">SUM(K171:K187)</f>
        <v>181674.64000000004</v>
      </c>
      <c r="L188" s="223">
        <f>+'Tab-22 ProfitPlan'!C188</f>
        <v>151916.32000000007</v>
      </c>
      <c r="M188" s="223">
        <f t="shared" si="41"/>
        <v>-29758.319999999978</v>
      </c>
      <c r="N188" s="224"/>
    </row>
    <row r="189" spans="1:14" x14ac:dyDescent="0.2">
      <c r="C189" s="216"/>
      <c r="D189" s="216"/>
      <c r="E189" s="216"/>
      <c r="F189" s="216"/>
      <c r="G189" s="216"/>
      <c r="H189" s="216"/>
      <c r="I189" s="216"/>
      <c r="J189" s="216"/>
      <c r="K189" s="216"/>
      <c r="L189" s="216"/>
      <c r="M189" s="216"/>
      <c r="N189" s="217"/>
    </row>
    <row r="190" spans="1:14" ht="12" thickBot="1" x14ac:dyDescent="0.25">
      <c r="A190" s="211"/>
      <c r="B190" s="260" t="s">
        <v>54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7"/>
    </row>
    <row r="191" spans="1:14" x14ac:dyDescent="0.2">
      <c r="A191" s="239"/>
      <c r="B191" s="240" t="s">
        <v>952</v>
      </c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</row>
    <row r="192" spans="1:14" x14ac:dyDescent="0.2">
      <c r="A192" s="836" t="s">
        <v>434</v>
      </c>
      <c r="B192" s="837" t="s">
        <v>433</v>
      </c>
      <c r="C192" s="748">
        <v>17573.86</v>
      </c>
      <c r="D192" s="748">
        <v>28310.9</v>
      </c>
      <c r="E192" s="748">
        <v>14382.03</v>
      </c>
      <c r="F192" s="748">
        <v>7788.63</v>
      </c>
      <c r="G192" s="748">
        <v>25755.01</v>
      </c>
      <c r="H192" s="748">
        <v>32161.71</v>
      </c>
      <c r="I192" s="748">
        <v>6678.64</v>
      </c>
      <c r="J192" s="748">
        <v>5576.04</v>
      </c>
      <c r="K192" s="748">
        <v>2580.7800000000002</v>
      </c>
      <c r="L192" s="216">
        <f>+'Tab-22 ProfitPlan'!C192</f>
        <v>2500</v>
      </c>
      <c r="M192" s="216">
        <f t="shared" si="41"/>
        <v>-80.7800000000002</v>
      </c>
      <c r="N192" s="217"/>
    </row>
    <row r="193" spans="1:14" x14ac:dyDescent="0.2">
      <c r="A193" s="836" t="s">
        <v>432</v>
      </c>
      <c r="B193" s="837" t="s">
        <v>431</v>
      </c>
      <c r="C193" s="748">
        <v>8338.64</v>
      </c>
      <c r="D193" s="748">
        <v>15135.6</v>
      </c>
      <c r="E193" s="748">
        <v>15098.89</v>
      </c>
      <c r="F193" s="748">
        <v>10128.530000000001</v>
      </c>
      <c r="G193" s="748">
        <v>11244.46</v>
      </c>
      <c r="H193" s="748">
        <v>9119.9699999999993</v>
      </c>
      <c r="I193" s="748">
        <v>10544.58</v>
      </c>
      <c r="J193" s="748">
        <v>4641.63</v>
      </c>
      <c r="K193" s="748">
        <v>4585.95</v>
      </c>
      <c r="L193" s="216">
        <f>+'Tab-22 ProfitPlan'!C193</f>
        <v>4500</v>
      </c>
      <c r="M193" s="216">
        <f t="shared" si="41"/>
        <v>-85.949999999999818</v>
      </c>
      <c r="N193" s="217"/>
    </row>
    <row r="194" spans="1:14" x14ac:dyDescent="0.2">
      <c r="A194" s="836" t="s">
        <v>430</v>
      </c>
      <c r="B194" s="837" t="s">
        <v>429</v>
      </c>
      <c r="C194" s="748">
        <v>21189.4</v>
      </c>
      <c r="D194" s="748">
        <v>36823.56</v>
      </c>
      <c r="E194" s="748">
        <v>15757.11</v>
      </c>
      <c r="F194" s="748">
        <v>10976.12</v>
      </c>
      <c r="G194" s="748">
        <v>16968.150000000001</v>
      </c>
      <c r="H194" s="748">
        <v>16429.509999999998</v>
      </c>
      <c r="I194" s="748">
        <v>2483.08</v>
      </c>
      <c r="J194" s="748">
        <v>4609.47</v>
      </c>
      <c r="K194" s="748">
        <v>1667.29</v>
      </c>
      <c r="L194" s="216">
        <f>+'Tab-22 ProfitPlan'!C194</f>
        <v>1600</v>
      </c>
      <c r="M194" s="216">
        <f t="shared" si="41"/>
        <v>-67.289999999999964</v>
      </c>
      <c r="N194" s="217"/>
    </row>
    <row r="195" spans="1:14" x14ac:dyDescent="0.2">
      <c r="A195" s="836" t="s">
        <v>428</v>
      </c>
      <c r="B195" s="837" t="s">
        <v>427</v>
      </c>
      <c r="C195" s="748"/>
      <c r="D195" s="748"/>
      <c r="E195" s="748">
        <v>11.5</v>
      </c>
      <c r="F195" s="748">
        <v>29</v>
      </c>
      <c r="G195" s="748">
        <v>22</v>
      </c>
      <c r="H195" s="748">
        <v>9</v>
      </c>
      <c r="I195" s="748"/>
      <c r="J195" s="748">
        <v>0</v>
      </c>
      <c r="K195" s="748">
        <v>0</v>
      </c>
      <c r="L195" s="216">
        <f>+'Tab-22 ProfitPlan'!C195</f>
        <v>120</v>
      </c>
      <c r="M195" s="216">
        <f t="shared" si="41"/>
        <v>120</v>
      </c>
      <c r="N195" s="217"/>
    </row>
    <row r="196" spans="1:14" x14ac:dyDescent="0.2">
      <c r="A196" s="836" t="s">
        <v>426</v>
      </c>
      <c r="B196" s="837" t="s">
        <v>425</v>
      </c>
      <c r="C196" s="748">
        <v>8199.52</v>
      </c>
      <c r="D196" s="748">
        <v>3372.65</v>
      </c>
      <c r="E196" s="748">
        <v>6611.07</v>
      </c>
      <c r="F196" s="748">
        <v>6187.91</v>
      </c>
      <c r="G196" s="748">
        <v>22276.2</v>
      </c>
      <c r="H196" s="748">
        <v>30647.91</v>
      </c>
      <c r="I196" s="748"/>
      <c r="J196" s="748">
        <v>0</v>
      </c>
      <c r="K196" s="748">
        <v>0</v>
      </c>
      <c r="L196" s="216">
        <f>+'Tab-22 ProfitPlan'!C196</f>
        <v>0</v>
      </c>
      <c r="M196" s="216">
        <f t="shared" si="41"/>
        <v>0</v>
      </c>
      <c r="N196" s="217"/>
    </row>
    <row r="197" spans="1:14" x14ac:dyDescent="0.2">
      <c r="A197" s="836" t="s">
        <v>424</v>
      </c>
      <c r="B197" s="837" t="s">
        <v>423</v>
      </c>
      <c r="C197" s="748">
        <v>0</v>
      </c>
      <c r="D197" s="748">
        <v>0</v>
      </c>
      <c r="E197" s="748">
        <v>0</v>
      </c>
      <c r="F197" s="748">
        <v>0</v>
      </c>
      <c r="G197" s="748">
        <v>0</v>
      </c>
      <c r="H197" s="748"/>
      <c r="I197" s="748"/>
      <c r="J197" s="748">
        <v>0</v>
      </c>
      <c r="K197" s="748">
        <v>0</v>
      </c>
      <c r="L197" s="216">
        <f>+'Tab-22 ProfitPlan'!C197</f>
        <v>0</v>
      </c>
      <c r="M197" s="216">
        <f t="shared" si="41"/>
        <v>0</v>
      </c>
      <c r="N197" s="217"/>
    </row>
    <row r="198" spans="1:14" x14ac:dyDescent="0.2">
      <c r="A198" s="836" t="s">
        <v>422</v>
      </c>
      <c r="B198" s="837" t="s">
        <v>421</v>
      </c>
      <c r="C198" s="748"/>
      <c r="D198" s="748"/>
      <c r="E198" s="748">
        <v>33.01</v>
      </c>
      <c r="F198" s="748">
        <v>106.54</v>
      </c>
      <c r="G198" s="748">
        <v>556.99</v>
      </c>
      <c r="H198" s="748">
        <v>1574.33</v>
      </c>
      <c r="I198" s="748">
        <v>857.87</v>
      </c>
      <c r="J198" s="748">
        <v>279.45999999999998</v>
      </c>
      <c r="K198" s="748">
        <v>124.74</v>
      </c>
      <c r="L198" s="216">
        <f>+'Tab-22 ProfitPlan'!C198</f>
        <v>125</v>
      </c>
      <c r="M198" s="216">
        <f t="shared" si="41"/>
        <v>0.26000000000000512</v>
      </c>
      <c r="N198" s="217"/>
    </row>
    <row r="199" spans="1:14" x14ac:dyDescent="0.2">
      <c r="A199" s="836" t="s">
        <v>420</v>
      </c>
      <c r="B199" s="837" t="s">
        <v>419</v>
      </c>
      <c r="C199" s="748">
        <v>5654.83</v>
      </c>
      <c r="D199" s="748">
        <v>11030.18</v>
      </c>
      <c r="E199" s="748">
        <v>5240.83</v>
      </c>
      <c r="F199" s="748">
        <v>6941.78</v>
      </c>
      <c r="G199" s="748">
        <v>11102.72</v>
      </c>
      <c r="H199" s="748">
        <v>9379.92</v>
      </c>
      <c r="I199" s="748">
        <v>6301.86</v>
      </c>
      <c r="J199" s="748">
        <v>2235.2399999999998</v>
      </c>
      <c r="K199" s="748">
        <v>1741.41</v>
      </c>
      <c r="L199" s="216">
        <f>+'Tab-22 ProfitPlan'!C199</f>
        <v>1800</v>
      </c>
      <c r="M199" s="216">
        <f t="shared" si="41"/>
        <v>58.589999999999918</v>
      </c>
      <c r="N199" s="217"/>
    </row>
    <row r="200" spans="1:14" x14ac:dyDescent="0.2">
      <c r="A200" s="836" t="s">
        <v>418</v>
      </c>
      <c r="B200" s="837" t="s">
        <v>417</v>
      </c>
      <c r="C200" s="748">
        <v>4159.76</v>
      </c>
      <c r="D200" s="748">
        <v>2751.12</v>
      </c>
      <c r="E200" s="748">
        <v>12262.13</v>
      </c>
      <c r="F200" s="748">
        <v>13545.82</v>
      </c>
      <c r="G200" s="748">
        <v>8167.37</v>
      </c>
      <c r="H200" s="748">
        <v>3708.26</v>
      </c>
      <c r="I200" s="748">
        <v>1992.06</v>
      </c>
      <c r="J200" s="748">
        <v>1323.29</v>
      </c>
      <c r="K200" s="748">
        <v>1074.3800000000001</v>
      </c>
      <c r="L200" s="216">
        <f>+'Tab-22 ProfitPlan'!C200</f>
        <v>1200</v>
      </c>
      <c r="M200" s="216">
        <f t="shared" si="41"/>
        <v>125.61999999999989</v>
      </c>
      <c r="N200" s="217"/>
    </row>
    <row r="201" spans="1:14" x14ac:dyDescent="0.2">
      <c r="A201" s="836" t="s">
        <v>416</v>
      </c>
      <c r="B201" s="837" t="s">
        <v>408</v>
      </c>
      <c r="C201" s="748">
        <v>6618.95</v>
      </c>
      <c r="D201" s="748">
        <v>6873.05</v>
      </c>
      <c r="E201" s="748">
        <v>1103.96</v>
      </c>
      <c r="F201" s="748">
        <v>8248.8700000000008</v>
      </c>
      <c r="G201" s="748">
        <v>8733.35</v>
      </c>
      <c r="H201" s="748">
        <v>8658.0300000000007</v>
      </c>
      <c r="I201" s="748">
        <v>345.53</v>
      </c>
      <c r="J201" s="748">
        <v>322.73</v>
      </c>
      <c r="K201" s="748">
        <v>46.98</v>
      </c>
      <c r="L201" s="216">
        <f>+'Tab-22 ProfitPlan'!C201</f>
        <v>50</v>
      </c>
      <c r="M201" s="216">
        <f t="shared" si="41"/>
        <v>3.0200000000000031</v>
      </c>
      <c r="N201" s="217"/>
    </row>
    <row r="202" spans="1:14" x14ac:dyDescent="0.2">
      <c r="A202" s="836" t="s">
        <v>415</v>
      </c>
      <c r="B202" s="837" t="s">
        <v>414</v>
      </c>
      <c r="C202" s="748"/>
      <c r="D202" s="748">
        <v>0</v>
      </c>
      <c r="E202" s="748">
        <v>0</v>
      </c>
      <c r="F202" s="748">
        <v>0</v>
      </c>
      <c r="G202" s="748">
        <v>0</v>
      </c>
      <c r="H202" s="748"/>
      <c r="I202" s="748"/>
      <c r="J202" s="748">
        <v>0</v>
      </c>
      <c r="K202" s="748">
        <v>0</v>
      </c>
      <c r="L202" s="216">
        <f>+'Tab-22 ProfitPlan'!C202</f>
        <v>0</v>
      </c>
      <c r="M202" s="216">
        <f t="shared" si="41"/>
        <v>0</v>
      </c>
      <c r="N202" s="217"/>
    </row>
    <row r="203" spans="1:14" x14ac:dyDescent="0.2">
      <c r="A203" s="836" t="s">
        <v>413</v>
      </c>
      <c r="B203" s="837" t="s">
        <v>294</v>
      </c>
      <c r="C203" s="748"/>
      <c r="D203" s="748">
        <v>385.47</v>
      </c>
      <c r="E203" s="748">
        <v>0</v>
      </c>
      <c r="F203" s="748">
        <v>0</v>
      </c>
      <c r="G203" s="748">
        <v>0</v>
      </c>
      <c r="H203" s="748"/>
      <c r="I203" s="748"/>
      <c r="J203" s="748">
        <v>0</v>
      </c>
      <c r="K203" s="748">
        <v>0</v>
      </c>
      <c r="L203" s="216">
        <f>+'Tab-22 ProfitPlan'!C203</f>
        <v>0</v>
      </c>
      <c r="M203" s="216">
        <f t="shared" si="41"/>
        <v>0</v>
      </c>
      <c r="N203" s="217"/>
    </row>
    <row r="204" spans="1:14" x14ac:dyDescent="0.2">
      <c r="A204" s="836" t="s">
        <v>412</v>
      </c>
      <c r="B204" s="837" t="s">
        <v>296</v>
      </c>
      <c r="C204" s="748">
        <v>0</v>
      </c>
      <c r="D204" s="748">
        <v>0</v>
      </c>
      <c r="E204" s="748">
        <v>0</v>
      </c>
      <c r="F204" s="748">
        <v>0</v>
      </c>
      <c r="G204" s="748">
        <v>0</v>
      </c>
      <c r="H204" s="748"/>
      <c r="I204" s="748"/>
      <c r="J204" s="748">
        <v>0</v>
      </c>
      <c r="K204" s="748">
        <v>0</v>
      </c>
      <c r="L204" s="216">
        <f>+'Tab-22 ProfitPlan'!C204</f>
        <v>0</v>
      </c>
      <c r="M204" s="216">
        <f t="shared" ref="M204:M267" si="78">+L204-K204</f>
        <v>0</v>
      </c>
      <c r="N204" s="217"/>
    </row>
    <row r="205" spans="1:14" x14ac:dyDescent="0.2">
      <c r="A205" s="836" t="s">
        <v>411</v>
      </c>
      <c r="B205" s="837" t="s">
        <v>410</v>
      </c>
      <c r="C205" s="748">
        <v>6692.13</v>
      </c>
      <c r="D205" s="748">
        <v>7817.98</v>
      </c>
      <c r="E205" s="748">
        <v>9976.0499999999993</v>
      </c>
      <c r="F205" s="748">
        <v>11799.47</v>
      </c>
      <c r="G205" s="748">
        <v>12250</v>
      </c>
      <c r="H205" s="748">
        <v>15537.61</v>
      </c>
      <c r="I205" s="748">
        <v>9830.1</v>
      </c>
      <c r="J205" s="748">
        <v>10972.91</v>
      </c>
      <c r="K205" s="748">
        <v>17955.73</v>
      </c>
      <c r="L205" s="216">
        <f>+'Tab-22 ProfitPlan'!C205</f>
        <v>12000</v>
      </c>
      <c r="M205" s="216">
        <f t="shared" si="78"/>
        <v>-5955.73</v>
      </c>
      <c r="N205" s="217"/>
    </row>
    <row r="206" spans="1:14" x14ac:dyDescent="0.2">
      <c r="A206" s="836" t="s">
        <v>409</v>
      </c>
      <c r="B206" s="837" t="s">
        <v>408</v>
      </c>
      <c r="C206" s="748">
        <v>0</v>
      </c>
      <c r="D206" s="748">
        <v>0</v>
      </c>
      <c r="E206" s="748">
        <v>0</v>
      </c>
      <c r="F206" s="748">
        <v>0</v>
      </c>
      <c r="G206" s="748">
        <v>0</v>
      </c>
      <c r="H206" s="748"/>
      <c r="I206" s="748"/>
      <c r="J206" s="748">
        <v>0</v>
      </c>
      <c r="K206" s="748">
        <v>0</v>
      </c>
      <c r="L206" s="217">
        <f>+'Tab-22 ProfitPlan'!C206</f>
        <v>0</v>
      </c>
      <c r="M206" s="217">
        <f t="shared" si="78"/>
        <v>0</v>
      </c>
      <c r="N206" s="217"/>
    </row>
    <row r="207" spans="1:14" x14ac:dyDescent="0.2">
      <c r="A207" s="234"/>
      <c r="B207" s="235"/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</row>
    <row r="208" spans="1:14" ht="12" thickBot="1" x14ac:dyDescent="0.25">
      <c r="A208" s="261"/>
      <c r="B208" s="252" t="s">
        <v>951</v>
      </c>
      <c r="C208" s="253">
        <f t="shared" ref="C208:J208" si="79">SUM(C191:C207)</f>
        <v>78427.090000000011</v>
      </c>
      <c r="D208" s="253">
        <f t="shared" si="79"/>
        <v>112500.50999999998</v>
      </c>
      <c r="E208" s="253">
        <f t="shared" si="79"/>
        <v>80476.580000000016</v>
      </c>
      <c r="F208" s="253">
        <f t="shared" si="79"/>
        <v>75752.67</v>
      </c>
      <c r="G208" s="253">
        <f t="shared" si="79"/>
        <v>117076.25000000001</v>
      </c>
      <c r="H208" s="253">
        <f t="shared" si="79"/>
        <v>127226.25</v>
      </c>
      <c r="I208" s="253">
        <f t="shared" si="79"/>
        <v>39033.72</v>
      </c>
      <c r="J208" s="253">
        <f t="shared" si="79"/>
        <v>29960.769999999997</v>
      </c>
      <c r="K208" s="253">
        <f>SUM(K191:K207)</f>
        <v>29777.26</v>
      </c>
      <c r="L208" s="253">
        <f>+'Tab-22 ProfitPlan'!C208</f>
        <v>23895</v>
      </c>
      <c r="M208" s="253">
        <f t="shared" si="78"/>
        <v>-5882.2599999999984</v>
      </c>
      <c r="N208" s="217"/>
    </row>
    <row r="209" spans="1:14" x14ac:dyDescent="0.2">
      <c r="A209" s="214"/>
      <c r="B209" s="244"/>
      <c r="C209" s="216"/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7"/>
    </row>
    <row r="210" spans="1:14" x14ac:dyDescent="0.2">
      <c r="A210" s="214"/>
      <c r="B210" s="244" t="s">
        <v>953</v>
      </c>
      <c r="C210" s="216"/>
      <c r="D210" s="216"/>
      <c r="E210" s="216"/>
      <c r="F210" s="216"/>
      <c r="G210" s="216"/>
      <c r="H210" s="216"/>
      <c r="I210" s="216"/>
      <c r="J210" s="216"/>
      <c r="K210" s="216"/>
      <c r="L210" s="216"/>
      <c r="M210" s="216"/>
      <c r="N210" s="217"/>
    </row>
    <row r="211" spans="1:14" x14ac:dyDescent="0.2">
      <c r="A211" s="836" t="s">
        <v>407</v>
      </c>
      <c r="B211" s="837" t="s">
        <v>406</v>
      </c>
      <c r="C211" s="748">
        <v>1320</v>
      </c>
      <c r="D211" s="748">
        <v>1177</v>
      </c>
      <c r="E211" s="748">
        <v>489</v>
      </c>
      <c r="F211" s="748">
        <v>1954</v>
      </c>
      <c r="G211" s="748">
        <v>2173.5</v>
      </c>
      <c r="H211" s="748">
        <v>3816</v>
      </c>
      <c r="I211" s="748">
        <v>3976.16</v>
      </c>
      <c r="J211" s="748">
        <v>8508</v>
      </c>
      <c r="K211" s="748">
        <v>3371</v>
      </c>
      <c r="L211" s="216">
        <f>+'Tab-22 ProfitPlan'!C211</f>
        <v>4000</v>
      </c>
      <c r="M211" s="216">
        <f t="shared" si="78"/>
        <v>629</v>
      </c>
      <c r="N211" s="217"/>
    </row>
    <row r="212" spans="1:14" x14ac:dyDescent="0.2">
      <c r="A212" s="836" t="s">
        <v>405</v>
      </c>
      <c r="B212" s="837" t="s">
        <v>404</v>
      </c>
      <c r="C212" s="748">
        <v>7277</v>
      </c>
      <c r="D212" s="748">
        <v>5503</v>
      </c>
      <c r="E212" s="748">
        <v>10578</v>
      </c>
      <c r="F212" s="748">
        <v>7235</v>
      </c>
      <c r="G212" s="748">
        <v>11384</v>
      </c>
      <c r="H212" s="748">
        <v>8304</v>
      </c>
      <c r="I212" s="748">
        <v>8836</v>
      </c>
      <c r="J212" s="748">
        <v>9872</v>
      </c>
      <c r="K212" s="748">
        <v>15074</v>
      </c>
      <c r="L212" s="216">
        <f>+'Tab-22 ProfitPlan'!C212</f>
        <v>12000</v>
      </c>
      <c r="M212" s="216">
        <f t="shared" si="78"/>
        <v>-3074</v>
      </c>
      <c r="N212" s="217"/>
    </row>
    <row r="213" spans="1:14" x14ac:dyDescent="0.2">
      <c r="A213" s="836" t="s">
        <v>403</v>
      </c>
      <c r="B213" s="837" t="s">
        <v>864</v>
      </c>
      <c r="C213" s="748"/>
      <c r="D213" s="748">
        <v>23682.25</v>
      </c>
      <c r="E213" s="748">
        <v>23435.99</v>
      </c>
      <c r="F213" s="748">
        <v>0</v>
      </c>
      <c r="G213" s="748">
        <v>0</v>
      </c>
      <c r="H213" s="748"/>
      <c r="I213" s="748">
        <v>9251.25</v>
      </c>
      <c r="J213" s="748">
        <v>0</v>
      </c>
      <c r="K213" s="748">
        <v>0</v>
      </c>
      <c r="L213" s="216">
        <f>+'Tab-22 ProfitPlan'!C213</f>
        <v>0</v>
      </c>
      <c r="M213" s="216">
        <f t="shared" si="78"/>
        <v>0</v>
      </c>
      <c r="N213" s="217"/>
    </row>
    <row r="214" spans="1:14" x14ac:dyDescent="0.2">
      <c r="A214" s="836" t="s">
        <v>401</v>
      </c>
      <c r="B214" s="837" t="s">
        <v>400</v>
      </c>
      <c r="C214" s="748">
        <v>3300.58</v>
      </c>
      <c r="D214" s="748">
        <v>3734.62</v>
      </c>
      <c r="E214" s="748">
        <v>3480.03</v>
      </c>
      <c r="F214" s="748">
        <v>3095.34</v>
      </c>
      <c r="G214" s="748">
        <v>2825.09</v>
      </c>
      <c r="H214" s="748">
        <v>3591.37</v>
      </c>
      <c r="I214" s="748">
        <v>4676.25</v>
      </c>
      <c r="J214" s="748">
        <v>5795.15</v>
      </c>
      <c r="K214" s="748">
        <v>4132.57</v>
      </c>
      <c r="L214" s="216">
        <f>+'Tab-22 ProfitPlan'!C214</f>
        <v>4000</v>
      </c>
      <c r="M214" s="216">
        <f t="shared" si="78"/>
        <v>-132.56999999999971</v>
      </c>
      <c r="N214" s="217"/>
    </row>
    <row r="215" spans="1:14" x14ac:dyDescent="0.2">
      <c r="A215" s="836" t="s">
        <v>399</v>
      </c>
      <c r="B215" s="837" t="s">
        <v>398</v>
      </c>
      <c r="C215" s="748">
        <v>0</v>
      </c>
      <c r="D215" s="748">
        <v>0</v>
      </c>
      <c r="E215" s="748">
        <v>0</v>
      </c>
      <c r="F215" s="748">
        <v>0</v>
      </c>
      <c r="G215" s="748">
        <v>0</v>
      </c>
      <c r="H215" s="748"/>
      <c r="I215" s="748"/>
      <c r="J215" s="748">
        <v>0</v>
      </c>
      <c r="K215" s="748">
        <v>0</v>
      </c>
      <c r="L215" s="216">
        <f>+'Tab-22 ProfitPlan'!C215</f>
        <v>0</v>
      </c>
      <c r="M215" s="216">
        <f t="shared" si="78"/>
        <v>0</v>
      </c>
      <c r="N215" s="217"/>
    </row>
    <row r="216" spans="1:14" x14ac:dyDescent="0.2">
      <c r="A216" s="836" t="s">
        <v>397</v>
      </c>
      <c r="B216" s="837" t="s">
        <v>1025</v>
      </c>
      <c r="C216" s="748">
        <v>68825.539999999994</v>
      </c>
      <c r="D216" s="748">
        <v>80460.33</v>
      </c>
      <c r="E216" s="748">
        <v>86655.29</v>
      </c>
      <c r="F216" s="748">
        <v>86913.55</v>
      </c>
      <c r="G216" s="748">
        <v>90926.88</v>
      </c>
      <c r="H216" s="748">
        <v>88509.78</v>
      </c>
      <c r="I216" s="748">
        <v>91890.46</v>
      </c>
      <c r="J216" s="748">
        <v>76277.52</v>
      </c>
      <c r="K216" s="748">
        <v>45573.29</v>
      </c>
      <c r="L216" s="216">
        <f>+'Tab-22 ProfitPlan'!C216</f>
        <v>45000</v>
      </c>
      <c r="M216" s="216">
        <f t="shared" si="78"/>
        <v>-573.29000000000087</v>
      </c>
      <c r="N216" s="217"/>
    </row>
    <row r="217" spans="1:14" x14ac:dyDescent="0.2">
      <c r="A217" s="836" t="s">
        <v>395</v>
      </c>
      <c r="B217" s="837" t="s">
        <v>1026</v>
      </c>
      <c r="C217" s="748">
        <v>4829.62</v>
      </c>
      <c r="D217" s="748">
        <v>7774.95</v>
      </c>
      <c r="E217" s="748">
        <v>8061.57</v>
      </c>
      <c r="F217" s="748">
        <v>7811.95</v>
      </c>
      <c r="G217" s="748">
        <v>8429.08</v>
      </c>
      <c r="H217" s="748">
        <v>8512.5</v>
      </c>
      <c r="I217" s="748">
        <v>7701.15</v>
      </c>
      <c r="J217" s="748">
        <v>7522.44</v>
      </c>
      <c r="K217" s="748">
        <v>7418.9</v>
      </c>
      <c r="L217" s="216">
        <f>+'Tab-22 ProfitPlan'!C217</f>
        <v>7500</v>
      </c>
      <c r="M217" s="216">
        <f t="shared" si="78"/>
        <v>81.100000000000364</v>
      </c>
      <c r="N217" s="217"/>
    </row>
    <row r="218" spans="1:14" x14ac:dyDescent="0.2">
      <c r="A218" s="836" t="s">
        <v>393</v>
      </c>
      <c r="B218" s="837" t="s">
        <v>392</v>
      </c>
      <c r="C218" s="748">
        <v>0</v>
      </c>
      <c r="D218" s="748">
        <v>0</v>
      </c>
      <c r="E218" s="748">
        <v>0</v>
      </c>
      <c r="F218" s="748">
        <v>4369</v>
      </c>
      <c r="G218" s="748">
        <v>0</v>
      </c>
      <c r="H218" s="748">
        <v>4369</v>
      </c>
      <c r="I218" s="748">
        <v>4369</v>
      </c>
      <c r="J218" s="748">
        <v>4369</v>
      </c>
      <c r="K218" s="748">
        <v>4369</v>
      </c>
      <c r="L218" s="216">
        <f>+'Tab-22 ProfitPlan'!C218</f>
        <v>4369</v>
      </c>
      <c r="M218" s="216">
        <f t="shared" si="78"/>
        <v>0</v>
      </c>
      <c r="N218" s="217"/>
    </row>
    <row r="219" spans="1:14" x14ac:dyDescent="0.2">
      <c r="A219" s="839" t="s">
        <v>391</v>
      </c>
      <c r="B219" s="837" t="s">
        <v>390</v>
      </c>
      <c r="C219" s="748">
        <v>0</v>
      </c>
      <c r="D219" s="748">
        <v>0</v>
      </c>
      <c r="E219" s="748">
        <v>0</v>
      </c>
      <c r="F219" s="748">
        <v>-6432.62</v>
      </c>
      <c r="G219" s="748">
        <v>0</v>
      </c>
      <c r="H219" s="748"/>
      <c r="I219" s="748"/>
      <c r="J219" s="748">
        <v>0</v>
      </c>
      <c r="K219" s="748">
        <v>-11990.66</v>
      </c>
      <c r="L219" s="216">
        <f>+'Tab-22 ProfitPlan'!C219</f>
        <v>-12000</v>
      </c>
      <c r="M219" s="216">
        <f t="shared" si="78"/>
        <v>-9.3400000000001455</v>
      </c>
      <c r="N219" s="217"/>
    </row>
    <row r="220" spans="1:14" x14ac:dyDescent="0.2">
      <c r="A220" s="839" t="s">
        <v>389</v>
      </c>
      <c r="B220" s="837" t="s">
        <v>388</v>
      </c>
      <c r="C220" s="748">
        <v>1537.2</v>
      </c>
      <c r="D220" s="748">
        <v>2025.32</v>
      </c>
      <c r="E220" s="748">
        <v>1729.68</v>
      </c>
      <c r="F220" s="748">
        <v>1729.68</v>
      </c>
      <c r="G220" s="748">
        <v>1585.54</v>
      </c>
      <c r="H220" s="748">
        <v>2165.8200000000002</v>
      </c>
      <c r="I220" s="748">
        <v>1729.68</v>
      </c>
      <c r="J220" s="748">
        <v>1585.54</v>
      </c>
      <c r="K220" s="748">
        <v>1874.5</v>
      </c>
      <c r="L220" s="216">
        <f>+'Tab-22 ProfitPlan'!C220</f>
        <v>1875</v>
      </c>
      <c r="M220" s="216">
        <f t="shared" si="78"/>
        <v>0.5</v>
      </c>
      <c r="N220" s="217"/>
    </row>
    <row r="221" spans="1:14" x14ac:dyDescent="0.2">
      <c r="A221" s="839" t="s">
        <v>387</v>
      </c>
      <c r="B221" s="837" t="s">
        <v>386</v>
      </c>
      <c r="C221" s="748">
        <v>94.5</v>
      </c>
      <c r="D221" s="748">
        <v>26</v>
      </c>
      <c r="E221" s="748">
        <v>2273.44</v>
      </c>
      <c r="F221" s="748">
        <v>2061</v>
      </c>
      <c r="G221" s="748">
        <v>2140.84</v>
      </c>
      <c r="H221" s="748">
        <v>2000</v>
      </c>
      <c r="I221" s="748">
        <v>2094</v>
      </c>
      <c r="J221" s="748">
        <v>2000</v>
      </c>
      <c r="K221" s="748">
        <v>2000</v>
      </c>
      <c r="L221" s="216">
        <f>+'Tab-22 ProfitPlan'!C221</f>
        <v>2000</v>
      </c>
      <c r="M221" s="216">
        <f t="shared" si="78"/>
        <v>0</v>
      </c>
      <c r="N221" s="217"/>
    </row>
    <row r="222" spans="1:14" x14ac:dyDescent="0.2">
      <c r="A222" s="836" t="s">
        <v>385</v>
      </c>
      <c r="B222" s="837" t="s">
        <v>384</v>
      </c>
      <c r="C222" s="748">
        <v>8676.6200000000008</v>
      </c>
      <c r="D222" s="748">
        <v>8246.74</v>
      </c>
      <c r="E222" s="748">
        <v>6992.16</v>
      </c>
      <c r="F222" s="748">
        <v>5858.49</v>
      </c>
      <c r="G222" s="748">
        <v>6107.1</v>
      </c>
      <c r="H222" s="748">
        <v>5861.95</v>
      </c>
      <c r="I222" s="748">
        <v>7317.64</v>
      </c>
      <c r="J222" s="748">
        <v>5799.87</v>
      </c>
      <c r="K222" s="748">
        <v>5545.39</v>
      </c>
      <c r="L222" s="216">
        <f>+'Tab-22 ProfitPlan'!C222</f>
        <v>5600</v>
      </c>
      <c r="M222" s="216">
        <f t="shared" si="78"/>
        <v>54.609999999999673</v>
      </c>
      <c r="N222" s="217"/>
    </row>
    <row r="223" spans="1:14" x14ac:dyDescent="0.2">
      <c r="A223" s="836" t="s">
        <v>383</v>
      </c>
      <c r="B223" s="837" t="s">
        <v>382</v>
      </c>
      <c r="C223" s="748">
        <v>10</v>
      </c>
      <c r="D223" s="748">
        <v>163.75</v>
      </c>
      <c r="E223" s="748">
        <v>315.04000000000002</v>
      </c>
      <c r="F223" s="748">
        <v>105</v>
      </c>
      <c r="G223" s="748">
        <v>785.5</v>
      </c>
      <c r="H223" s="748">
        <v>98</v>
      </c>
      <c r="I223" s="748">
        <v>7752.9</v>
      </c>
      <c r="J223" s="748">
        <v>3975</v>
      </c>
      <c r="K223" s="748">
        <v>3563.04</v>
      </c>
      <c r="L223" s="216">
        <f>+'Tab-22 ProfitPlan'!C223</f>
        <v>6000</v>
      </c>
      <c r="M223" s="216">
        <f t="shared" si="78"/>
        <v>2436.96</v>
      </c>
      <c r="N223" s="217"/>
    </row>
    <row r="224" spans="1:14" x14ac:dyDescent="0.2">
      <c r="A224" s="836" t="s">
        <v>381</v>
      </c>
      <c r="B224" s="837" t="s">
        <v>380</v>
      </c>
      <c r="C224" s="748">
        <v>0</v>
      </c>
      <c r="D224" s="748">
        <v>150</v>
      </c>
      <c r="E224" s="748">
        <v>30</v>
      </c>
      <c r="F224" s="748">
        <v>25</v>
      </c>
      <c r="G224" s="748">
        <v>1060</v>
      </c>
      <c r="H224" s="748">
        <v>2304</v>
      </c>
      <c r="I224" s="748">
        <v>2894</v>
      </c>
      <c r="J224" s="748">
        <v>1288</v>
      </c>
      <c r="K224" s="748">
        <v>815</v>
      </c>
      <c r="L224" s="216">
        <f>+'Tab-22 ProfitPlan'!C224</f>
        <v>815</v>
      </c>
      <c r="M224" s="216">
        <f t="shared" si="78"/>
        <v>0</v>
      </c>
      <c r="N224" s="217"/>
    </row>
    <row r="225" spans="1:14" x14ac:dyDescent="0.2">
      <c r="A225" s="839" t="s">
        <v>379</v>
      </c>
      <c r="B225" s="837" t="s">
        <v>378</v>
      </c>
      <c r="C225" s="748">
        <v>0</v>
      </c>
      <c r="D225" s="748">
        <v>0</v>
      </c>
      <c r="E225" s="748">
        <v>0</v>
      </c>
      <c r="F225" s="748">
        <v>0</v>
      </c>
      <c r="G225" s="748">
        <v>0</v>
      </c>
      <c r="H225" s="748"/>
      <c r="I225" s="748"/>
      <c r="J225" s="748">
        <v>0</v>
      </c>
      <c r="K225" s="748">
        <v>0</v>
      </c>
      <c r="L225" s="216">
        <f>+'Tab-22 ProfitPlan'!C225</f>
        <v>0</v>
      </c>
      <c r="M225" s="216">
        <f t="shared" si="78"/>
        <v>0</v>
      </c>
      <c r="N225" s="217"/>
    </row>
    <row r="226" spans="1:14" x14ac:dyDescent="0.2">
      <c r="A226" s="836" t="s">
        <v>377</v>
      </c>
      <c r="B226" s="837" t="s">
        <v>376</v>
      </c>
      <c r="C226" s="748">
        <v>1450</v>
      </c>
      <c r="D226" s="748">
        <v>4468</v>
      </c>
      <c r="E226" s="748">
        <v>1900</v>
      </c>
      <c r="F226" s="748">
        <v>2141</v>
      </c>
      <c r="G226" s="748">
        <v>10410</v>
      </c>
      <c r="H226" s="748">
        <v>3400</v>
      </c>
      <c r="I226" s="748">
        <v>50</v>
      </c>
      <c r="J226" s="748">
        <v>600</v>
      </c>
      <c r="K226" s="748">
        <v>1600</v>
      </c>
      <c r="L226" s="216">
        <f>+'Tab-22 ProfitPlan'!C226</f>
        <v>1000</v>
      </c>
      <c r="M226" s="216">
        <f t="shared" si="78"/>
        <v>-600</v>
      </c>
      <c r="N226" s="217"/>
    </row>
    <row r="227" spans="1:14" x14ac:dyDescent="0.2">
      <c r="A227" s="836" t="s">
        <v>375</v>
      </c>
      <c r="B227" s="837" t="s">
        <v>298</v>
      </c>
      <c r="C227" s="748">
        <v>10444.73</v>
      </c>
      <c r="D227" s="748">
        <v>6998.82</v>
      </c>
      <c r="E227" s="748">
        <v>3147.9</v>
      </c>
      <c r="F227" s="748">
        <v>8158.71</v>
      </c>
      <c r="G227" s="748">
        <v>8124.49</v>
      </c>
      <c r="H227" s="748">
        <v>12436.51</v>
      </c>
      <c r="I227" s="748">
        <v>8504.9500000000007</v>
      </c>
      <c r="J227" s="748">
        <v>11105</v>
      </c>
      <c r="K227" s="748">
        <v>2679.5</v>
      </c>
      <c r="L227" s="216">
        <f>+'Tab-22 ProfitPlan'!C227</f>
        <v>2600</v>
      </c>
      <c r="M227" s="216">
        <f t="shared" si="78"/>
        <v>-79.5</v>
      </c>
      <c r="N227" s="217"/>
    </row>
    <row r="228" spans="1:14" x14ac:dyDescent="0.2">
      <c r="A228" s="836" t="s">
        <v>374</v>
      </c>
      <c r="B228" s="837" t="s">
        <v>373</v>
      </c>
      <c r="C228" s="748">
        <v>0</v>
      </c>
      <c r="D228" s="748">
        <v>0</v>
      </c>
      <c r="E228" s="748">
        <v>0</v>
      </c>
      <c r="F228" s="748">
        <v>89243</v>
      </c>
      <c r="G228" s="748">
        <v>0</v>
      </c>
      <c r="H228" s="748"/>
      <c r="I228" s="748"/>
      <c r="J228" s="748">
        <v>22347.040000000001</v>
      </c>
      <c r="K228" s="748">
        <v>0</v>
      </c>
      <c r="L228" s="216">
        <f>+'Tab-22 ProfitPlan'!C228</f>
        <v>0</v>
      </c>
      <c r="M228" s="216">
        <f t="shared" si="78"/>
        <v>0</v>
      </c>
      <c r="N228" s="217"/>
    </row>
    <row r="229" spans="1:14" x14ac:dyDescent="0.2">
      <c r="A229" s="839" t="s">
        <v>372</v>
      </c>
      <c r="B229" s="837" t="s">
        <v>371</v>
      </c>
      <c r="C229" s="748">
        <v>6079.71</v>
      </c>
      <c r="D229" s="748">
        <v>4061.34</v>
      </c>
      <c r="E229" s="748">
        <v>3840.3</v>
      </c>
      <c r="F229" s="748">
        <v>451.26</v>
      </c>
      <c r="G229" s="748">
        <v>0</v>
      </c>
      <c r="H229" s="748">
        <v>40.89</v>
      </c>
      <c r="I229" s="748">
        <v>315.5</v>
      </c>
      <c r="J229" s="748">
        <v>907.19</v>
      </c>
      <c r="K229" s="748">
        <v>3919.09</v>
      </c>
      <c r="L229" s="217">
        <f>+'Tab-22 ProfitPlan'!C229</f>
        <v>6000</v>
      </c>
      <c r="M229" s="217">
        <f t="shared" si="78"/>
        <v>2080.91</v>
      </c>
      <c r="N229" s="217"/>
    </row>
    <row r="230" spans="1:14" x14ac:dyDescent="0.2">
      <c r="A230" s="225"/>
      <c r="B230" s="215"/>
      <c r="C230" s="216"/>
      <c r="D230" s="216"/>
      <c r="E230" s="216"/>
      <c r="F230" s="216"/>
      <c r="G230" s="216"/>
      <c r="H230" s="216"/>
      <c r="I230" s="216"/>
      <c r="J230" s="216"/>
      <c r="K230" s="216"/>
      <c r="L230" s="216"/>
      <c r="M230" s="216"/>
      <c r="N230" s="217"/>
    </row>
    <row r="231" spans="1:14" ht="12" thickBot="1" x14ac:dyDescent="0.25">
      <c r="A231" s="251"/>
      <c r="B231" s="252" t="s">
        <v>954</v>
      </c>
      <c r="C231" s="253">
        <f t="shared" ref="C231:J231" si="80">SUM(C210:C230)</f>
        <v>113845.49999999999</v>
      </c>
      <c r="D231" s="253">
        <f t="shared" si="80"/>
        <v>148472.12000000002</v>
      </c>
      <c r="E231" s="253">
        <f t="shared" si="80"/>
        <v>152928.4</v>
      </c>
      <c r="F231" s="253">
        <f t="shared" si="80"/>
        <v>214719.36000000002</v>
      </c>
      <c r="G231" s="253">
        <f t="shared" si="80"/>
        <v>145952.01999999999</v>
      </c>
      <c r="H231" s="253">
        <f t="shared" si="80"/>
        <v>145409.82</v>
      </c>
      <c r="I231" s="253">
        <f t="shared" si="80"/>
        <v>161358.94000000003</v>
      </c>
      <c r="J231" s="253">
        <f t="shared" si="80"/>
        <v>161951.75000000003</v>
      </c>
      <c r="K231" s="253">
        <f>SUM(K210:K230)</f>
        <v>89944.619999999981</v>
      </c>
      <c r="L231" s="253">
        <f>+'Tab-22 ProfitPlan'!C231</f>
        <v>90759</v>
      </c>
      <c r="M231" s="253">
        <f t="shared" si="78"/>
        <v>814.38000000001921</v>
      </c>
      <c r="N231" s="217"/>
    </row>
    <row r="232" spans="1:14" x14ac:dyDescent="0.2">
      <c r="A232" s="225"/>
      <c r="B232" s="215"/>
      <c r="C232" s="216"/>
      <c r="D232" s="216"/>
      <c r="E232" s="216"/>
      <c r="F232" s="216"/>
      <c r="G232" s="216"/>
      <c r="H232" s="216"/>
      <c r="I232" s="216"/>
      <c r="J232" s="216"/>
      <c r="K232" s="216"/>
      <c r="L232" s="216"/>
      <c r="M232" s="216"/>
      <c r="N232" s="217"/>
    </row>
    <row r="233" spans="1:14" x14ac:dyDescent="0.2">
      <c r="A233" s="225"/>
      <c r="B233" s="244" t="s">
        <v>955</v>
      </c>
      <c r="C233" s="216"/>
      <c r="D233" s="216"/>
      <c r="E233" s="216"/>
      <c r="F233" s="216"/>
      <c r="G233" s="216"/>
      <c r="H233" s="216"/>
      <c r="I233" s="216"/>
      <c r="J233" s="216"/>
      <c r="K233" s="216"/>
      <c r="L233" s="216"/>
      <c r="M233" s="216"/>
      <c r="N233" s="217"/>
    </row>
    <row r="234" spans="1:14" x14ac:dyDescent="0.2">
      <c r="A234" s="836" t="s">
        <v>370</v>
      </c>
      <c r="B234" s="837" t="s">
        <v>369</v>
      </c>
      <c r="C234" s="748">
        <v>-44199.76</v>
      </c>
      <c r="D234" s="748">
        <v>-10797.3</v>
      </c>
      <c r="E234" s="748">
        <v>-20346.189999999999</v>
      </c>
      <c r="F234" s="748">
        <v>-8.48</v>
      </c>
      <c r="G234" s="748">
        <v>-1552.75</v>
      </c>
      <c r="H234" s="748">
        <v>280.35000000000002</v>
      </c>
      <c r="I234" s="748">
        <v>-66510.22</v>
      </c>
      <c r="J234" s="748">
        <v>-119.81</v>
      </c>
      <c r="K234" s="748">
        <v>-119.81</v>
      </c>
      <c r="L234" s="216">
        <f>+'Tab-22 ProfitPlan'!C234</f>
        <v>-120</v>
      </c>
      <c r="M234" s="216">
        <f t="shared" si="78"/>
        <v>-0.18999999999999773</v>
      </c>
      <c r="N234" s="217"/>
    </row>
    <row r="235" spans="1:14" x14ac:dyDescent="0.2">
      <c r="A235" s="836" t="s">
        <v>368</v>
      </c>
      <c r="B235" s="837" t="s">
        <v>367</v>
      </c>
      <c r="C235" s="748">
        <v>-3239.86</v>
      </c>
      <c r="D235" s="748">
        <v>-798</v>
      </c>
      <c r="E235" s="748">
        <v>-485.5</v>
      </c>
      <c r="F235" s="748">
        <v>-598.20000000000005</v>
      </c>
      <c r="G235" s="748">
        <v>0</v>
      </c>
      <c r="H235" s="748">
        <v>-1507.19</v>
      </c>
      <c r="I235" s="748">
        <v>-14</v>
      </c>
      <c r="J235" s="748">
        <v>0</v>
      </c>
      <c r="K235" s="748">
        <v>0</v>
      </c>
      <c r="L235" s="216">
        <f>+'Tab-22 ProfitPlan'!C235</f>
        <v>0</v>
      </c>
      <c r="M235" s="216">
        <f t="shared" si="78"/>
        <v>0</v>
      </c>
      <c r="N235" s="217"/>
    </row>
    <row r="236" spans="1:14" x14ac:dyDescent="0.2">
      <c r="A236" s="836" t="s">
        <v>366</v>
      </c>
      <c r="B236" s="837" t="s">
        <v>365</v>
      </c>
      <c r="C236" s="748">
        <v>1531.4</v>
      </c>
      <c r="D236" s="748">
        <v>1193.4100000000001</v>
      </c>
      <c r="E236" s="748">
        <v>1589.37</v>
      </c>
      <c r="F236" s="748">
        <v>471.93</v>
      </c>
      <c r="G236" s="748">
        <v>1225.19</v>
      </c>
      <c r="H236" s="748">
        <v>525.77</v>
      </c>
      <c r="I236" s="748">
        <v>131.97999999999999</v>
      </c>
      <c r="J236" s="748">
        <v>1344.7</v>
      </c>
      <c r="K236" s="748">
        <v>1344.7</v>
      </c>
      <c r="L236" s="216">
        <f>+'Tab-22 ProfitPlan'!C236</f>
        <v>1200</v>
      </c>
      <c r="M236" s="216">
        <f t="shared" si="78"/>
        <v>-144.70000000000005</v>
      </c>
      <c r="N236" s="217"/>
    </row>
    <row r="237" spans="1:14" x14ac:dyDescent="0.2">
      <c r="A237" s="836" t="s">
        <v>364</v>
      </c>
      <c r="B237" s="837" t="s">
        <v>363</v>
      </c>
      <c r="C237" s="748">
        <v>1032.5</v>
      </c>
      <c r="D237" s="748">
        <v>820.22</v>
      </c>
      <c r="E237" s="748">
        <v>340.93</v>
      </c>
      <c r="F237" s="748">
        <v>0</v>
      </c>
      <c r="G237" s="748">
        <v>617.63</v>
      </c>
      <c r="H237" s="748"/>
      <c r="I237" s="748">
        <v>780.91</v>
      </c>
      <c r="J237" s="748">
        <v>0</v>
      </c>
      <c r="K237" s="748">
        <v>0</v>
      </c>
      <c r="L237" s="216">
        <f>+'Tab-22 ProfitPlan'!C237</f>
        <v>0</v>
      </c>
      <c r="M237" s="216">
        <f t="shared" si="78"/>
        <v>0</v>
      </c>
      <c r="N237" s="217"/>
    </row>
    <row r="238" spans="1:14" x14ac:dyDescent="0.2">
      <c r="A238" s="836" t="s">
        <v>362</v>
      </c>
      <c r="B238" s="837" t="s">
        <v>361</v>
      </c>
      <c r="C238" s="748">
        <v>2220.58</v>
      </c>
      <c r="D238" s="748">
        <v>3108.56</v>
      </c>
      <c r="E238" s="748">
        <v>1434.71</v>
      </c>
      <c r="F238" s="748">
        <v>1226.1300000000001</v>
      </c>
      <c r="G238" s="748">
        <v>486.67</v>
      </c>
      <c r="H238" s="748">
        <v>133.13</v>
      </c>
      <c r="I238" s="748">
        <v>17.11</v>
      </c>
      <c r="J238" s="748">
        <v>0</v>
      </c>
      <c r="K238" s="748">
        <v>0</v>
      </c>
      <c r="L238" s="216">
        <f>+'Tab-22 ProfitPlan'!C238</f>
        <v>0</v>
      </c>
      <c r="M238" s="216">
        <f t="shared" si="78"/>
        <v>0</v>
      </c>
      <c r="N238" s="217"/>
    </row>
    <row r="239" spans="1:14" x14ac:dyDescent="0.2">
      <c r="A239" s="836" t="s">
        <v>360</v>
      </c>
      <c r="B239" s="837" t="s">
        <v>359</v>
      </c>
      <c r="C239" s="748">
        <v>45072.81</v>
      </c>
      <c r="D239" s="748">
        <v>18075.490000000002</v>
      </c>
      <c r="E239" s="748">
        <v>21537.119999999999</v>
      </c>
      <c r="F239" s="748">
        <v>38748.910000000003</v>
      </c>
      <c r="G239" s="748">
        <v>11147.04</v>
      </c>
      <c r="H239" s="748">
        <v>10567.38</v>
      </c>
      <c r="I239" s="748">
        <v>6555.64</v>
      </c>
      <c r="J239" s="748">
        <v>4137.04</v>
      </c>
      <c r="K239" s="748">
        <v>4137.04</v>
      </c>
      <c r="L239" s="216">
        <f>+'Tab-22 ProfitPlan'!C239</f>
        <v>4200</v>
      </c>
      <c r="M239" s="216">
        <f t="shared" si="78"/>
        <v>62.960000000000036</v>
      </c>
      <c r="N239" s="217"/>
    </row>
    <row r="240" spans="1:14" x14ac:dyDescent="0.2">
      <c r="A240" s="836" t="s">
        <v>358</v>
      </c>
      <c r="B240" s="837" t="s">
        <v>357</v>
      </c>
      <c r="C240" s="748">
        <v>24308.79</v>
      </c>
      <c r="D240" s="748">
        <v>30044.89</v>
      </c>
      <c r="E240" s="748">
        <v>23960.38</v>
      </c>
      <c r="F240" s="748">
        <v>29032.52</v>
      </c>
      <c r="G240" s="748">
        <v>30039.24</v>
      </c>
      <c r="H240" s="748">
        <v>32422.76</v>
      </c>
      <c r="I240" s="748">
        <f>32432.41+6.55</f>
        <v>32438.959999999999</v>
      </c>
      <c r="J240" s="748">
        <v>33202.74</v>
      </c>
      <c r="K240" s="748">
        <v>33202.74</v>
      </c>
      <c r="L240" s="216">
        <f>+'Tab-22 ProfitPlan'!C240</f>
        <v>33000</v>
      </c>
      <c r="M240" s="216">
        <f t="shared" si="78"/>
        <v>-202.73999999999796</v>
      </c>
      <c r="N240" s="217"/>
    </row>
    <row r="241" spans="1:14" x14ac:dyDescent="0.2">
      <c r="A241" s="836" t="s">
        <v>356</v>
      </c>
      <c r="B241" s="837" t="s">
        <v>355</v>
      </c>
      <c r="C241" s="748">
        <v>660.25</v>
      </c>
      <c r="D241" s="748">
        <v>0</v>
      </c>
      <c r="E241" s="748">
        <v>0</v>
      </c>
      <c r="F241" s="748">
        <v>140</v>
      </c>
      <c r="G241" s="748">
        <v>5.18</v>
      </c>
      <c r="H241" s="748"/>
      <c r="I241" s="748"/>
      <c r="J241" s="748">
        <v>600</v>
      </c>
      <c r="K241" s="748">
        <v>600</v>
      </c>
      <c r="L241" s="216">
        <f>+'Tab-22 ProfitPlan'!C241</f>
        <v>0</v>
      </c>
      <c r="M241" s="216">
        <f t="shared" si="78"/>
        <v>-600</v>
      </c>
      <c r="N241" s="217"/>
    </row>
    <row r="242" spans="1:14" x14ac:dyDescent="0.2">
      <c r="A242" s="836" t="s">
        <v>354</v>
      </c>
      <c r="B242" s="837" t="s">
        <v>353</v>
      </c>
      <c r="C242" s="748">
        <v>8528.89</v>
      </c>
      <c r="D242" s="748">
        <v>11086.27</v>
      </c>
      <c r="E242" s="748">
        <v>10803.27</v>
      </c>
      <c r="F242" s="748">
        <v>15175.7</v>
      </c>
      <c r="G242" s="748">
        <v>16457.71</v>
      </c>
      <c r="H242" s="748">
        <f>224.23+16047.86</f>
        <v>16272.09</v>
      </c>
      <c r="I242" s="748">
        <f>50.52+8121.46</f>
        <v>8171.9800000000005</v>
      </c>
      <c r="J242" s="748">
        <v>9323</v>
      </c>
      <c r="K242" s="748">
        <v>9323</v>
      </c>
      <c r="L242" s="216">
        <f>+'Tab-22 ProfitPlan'!C242</f>
        <v>9300</v>
      </c>
      <c r="M242" s="216">
        <f t="shared" si="78"/>
        <v>-23</v>
      </c>
      <c r="N242" s="217"/>
    </row>
    <row r="243" spans="1:14" x14ac:dyDescent="0.2">
      <c r="A243" s="836" t="s">
        <v>352</v>
      </c>
      <c r="B243" s="837" t="s">
        <v>351</v>
      </c>
      <c r="C243" s="748">
        <v>1610.18</v>
      </c>
      <c r="D243" s="748">
        <v>1478.65</v>
      </c>
      <c r="E243" s="748">
        <v>1834.68</v>
      </c>
      <c r="F243" s="748">
        <v>1985.67</v>
      </c>
      <c r="G243" s="748">
        <v>1817.65</v>
      </c>
      <c r="H243" s="748">
        <v>2152.59</v>
      </c>
      <c r="I243" s="748">
        <v>1139.5999999999999</v>
      </c>
      <c r="J243" s="748">
        <v>876.57</v>
      </c>
      <c r="K243" s="748">
        <v>876.57</v>
      </c>
      <c r="L243" s="216">
        <f>+'Tab-22 ProfitPlan'!C243</f>
        <v>900</v>
      </c>
      <c r="M243" s="216">
        <f t="shared" si="78"/>
        <v>23.42999999999995</v>
      </c>
      <c r="N243" s="217"/>
    </row>
    <row r="244" spans="1:14" x14ac:dyDescent="0.2">
      <c r="A244" s="836" t="s">
        <v>350</v>
      </c>
      <c r="B244" s="837" t="s">
        <v>349</v>
      </c>
      <c r="C244" s="748">
        <v>0</v>
      </c>
      <c r="D244" s="748">
        <v>0</v>
      </c>
      <c r="E244" s="748">
        <v>0</v>
      </c>
      <c r="F244" s="748">
        <v>0</v>
      </c>
      <c r="G244" s="748">
        <v>0</v>
      </c>
      <c r="H244" s="748"/>
      <c r="I244" s="748"/>
      <c r="J244" s="748">
        <v>0</v>
      </c>
      <c r="K244" s="748">
        <v>0</v>
      </c>
      <c r="L244" s="216">
        <f>+'Tab-22 ProfitPlan'!C244</f>
        <v>0</v>
      </c>
      <c r="M244" s="216">
        <f t="shared" si="78"/>
        <v>0</v>
      </c>
      <c r="N244" s="217"/>
    </row>
    <row r="245" spans="1:14" x14ac:dyDescent="0.2">
      <c r="A245" s="836" t="s">
        <v>348</v>
      </c>
      <c r="B245" s="837" t="s">
        <v>347</v>
      </c>
      <c r="C245" s="748">
        <v>723.52</v>
      </c>
      <c r="D245" s="748">
        <v>94.97</v>
      </c>
      <c r="E245" s="748">
        <v>191.38</v>
      </c>
      <c r="F245" s="748">
        <v>0</v>
      </c>
      <c r="G245" s="748">
        <v>1711.56</v>
      </c>
      <c r="H245" s="748"/>
      <c r="I245" s="748">
        <v>1165.0999999999999</v>
      </c>
      <c r="J245" s="748">
        <v>0</v>
      </c>
      <c r="K245" s="748">
        <v>0</v>
      </c>
      <c r="L245" s="216">
        <f>+'Tab-22 ProfitPlan'!C245</f>
        <v>0</v>
      </c>
      <c r="M245" s="216">
        <f t="shared" si="78"/>
        <v>0</v>
      </c>
      <c r="N245" s="217"/>
    </row>
    <row r="246" spans="1:14" x14ac:dyDescent="0.2">
      <c r="A246" s="836" t="s">
        <v>346</v>
      </c>
      <c r="B246" s="837" t="s">
        <v>345</v>
      </c>
      <c r="C246" s="748">
        <v>4240</v>
      </c>
      <c r="D246" s="748">
        <v>3260</v>
      </c>
      <c r="E246" s="748">
        <v>0</v>
      </c>
      <c r="F246" s="748">
        <v>0</v>
      </c>
      <c r="G246" s="748">
        <v>0</v>
      </c>
      <c r="H246" s="748"/>
      <c r="I246" s="748"/>
      <c r="J246" s="748">
        <v>0</v>
      </c>
      <c r="K246" s="748">
        <v>0</v>
      </c>
      <c r="L246" s="216">
        <f>+'Tab-22 ProfitPlan'!C246</f>
        <v>0</v>
      </c>
      <c r="M246" s="216">
        <f t="shared" si="78"/>
        <v>0</v>
      </c>
      <c r="N246" s="217"/>
    </row>
    <row r="247" spans="1:14" x14ac:dyDescent="0.2">
      <c r="A247" s="836" t="s">
        <v>344</v>
      </c>
      <c r="B247" s="837" t="s">
        <v>343</v>
      </c>
      <c r="C247" s="748">
        <v>1309.18</v>
      </c>
      <c r="D247" s="748">
        <v>2152.12</v>
      </c>
      <c r="E247" s="748">
        <v>241.47</v>
      </c>
      <c r="F247" s="748">
        <v>3111</v>
      </c>
      <c r="G247" s="748">
        <v>87.87</v>
      </c>
      <c r="H247" s="748">
        <v>216.36</v>
      </c>
      <c r="I247" s="748">
        <v>1718.79</v>
      </c>
      <c r="J247" s="748">
        <v>228.81</v>
      </c>
      <c r="K247" s="748">
        <v>228.81</v>
      </c>
      <c r="L247" s="216">
        <f>+'Tab-22 ProfitPlan'!C247</f>
        <v>300</v>
      </c>
      <c r="M247" s="216">
        <f t="shared" si="78"/>
        <v>71.19</v>
      </c>
      <c r="N247" s="217"/>
    </row>
    <row r="248" spans="1:14" x14ac:dyDescent="0.2">
      <c r="A248" s="836" t="s">
        <v>342</v>
      </c>
      <c r="B248" s="837" t="s">
        <v>341</v>
      </c>
      <c r="C248" s="748">
        <v>5161.67</v>
      </c>
      <c r="D248" s="748">
        <v>2692.3</v>
      </c>
      <c r="E248" s="748">
        <v>1787.07</v>
      </c>
      <c r="F248" s="748">
        <v>595.6</v>
      </c>
      <c r="G248" s="748">
        <v>19328.62</v>
      </c>
      <c r="H248" s="748"/>
      <c r="I248" s="748"/>
      <c r="J248" s="748">
        <v>0</v>
      </c>
      <c r="K248" s="748">
        <v>0</v>
      </c>
      <c r="L248" s="216">
        <f>+'Tab-22 ProfitPlan'!C248</f>
        <v>0</v>
      </c>
      <c r="M248" s="216">
        <f t="shared" si="78"/>
        <v>0</v>
      </c>
      <c r="N248" s="217"/>
    </row>
    <row r="249" spans="1:14" x14ac:dyDescent="0.2">
      <c r="A249" s="836" t="s">
        <v>340</v>
      </c>
      <c r="B249" s="837" t="s">
        <v>339</v>
      </c>
      <c r="C249" s="748">
        <v>26804.84</v>
      </c>
      <c r="D249" s="748">
        <v>41358.51</v>
      </c>
      <c r="E249" s="748">
        <v>14999.98</v>
      </c>
      <c r="F249" s="748">
        <v>574.89</v>
      </c>
      <c r="G249" s="748">
        <v>588.08000000000004</v>
      </c>
      <c r="H249" s="748">
        <v>611.67999999999995</v>
      </c>
      <c r="I249" s="748">
        <v>1681.6</v>
      </c>
      <c r="J249" s="748">
        <v>456</v>
      </c>
      <c r="K249" s="748">
        <v>456</v>
      </c>
      <c r="L249" s="216">
        <f>+'Tab-22 ProfitPlan'!C249</f>
        <v>500</v>
      </c>
      <c r="M249" s="216">
        <f t="shared" si="78"/>
        <v>44</v>
      </c>
      <c r="N249" s="217"/>
    </row>
    <row r="250" spans="1:14" x14ac:dyDescent="0.2">
      <c r="A250" s="836" t="s">
        <v>338</v>
      </c>
      <c r="B250" s="837" t="s">
        <v>337</v>
      </c>
      <c r="C250" s="748">
        <v>932.4</v>
      </c>
      <c r="D250" s="748">
        <v>0</v>
      </c>
      <c r="E250" s="748">
        <v>0</v>
      </c>
      <c r="F250" s="748">
        <v>0</v>
      </c>
      <c r="G250" s="748">
        <v>0</v>
      </c>
      <c r="H250" s="748"/>
      <c r="I250" s="748"/>
      <c r="J250" s="748">
        <v>0</v>
      </c>
      <c r="K250" s="748">
        <v>0</v>
      </c>
      <c r="L250" s="216">
        <f>+'Tab-22 ProfitPlan'!C250</f>
        <v>0</v>
      </c>
      <c r="M250" s="216">
        <f t="shared" si="78"/>
        <v>0</v>
      </c>
      <c r="N250" s="217"/>
    </row>
    <row r="251" spans="1:14" x14ac:dyDescent="0.2">
      <c r="A251" s="836" t="s">
        <v>336</v>
      </c>
      <c r="B251" s="837" t="s">
        <v>1027</v>
      </c>
      <c r="C251" s="748">
        <v>135588</v>
      </c>
      <c r="D251" s="748">
        <v>135588</v>
      </c>
      <c r="E251" s="748">
        <v>135588</v>
      </c>
      <c r="F251" s="748">
        <v>135588</v>
      </c>
      <c r="G251" s="748">
        <v>135588</v>
      </c>
      <c r="H251" s="748">
        <v>135588</v>
      </c>
      <c r="I251" s="748">
        <v>129971.5</v>
      </c>
      <c r="J251" s="748">
        <v>112992</v>
      </c>
      <c r="K251" s="748">
        <v>112992</v>
      </c>
      <c r="L251" s="216">
        <f>+'Tab-22 ProfitPlan'!C251</f>
        <v>71496</v>
      </c>
      <c r="M251" s="216">
        <f t="shared" si="78"/>
        <v>-41496</v>
      </c>
      <c r="N251" s="217"/>
    </row>
    <row r="252" spans="1:14" x14ac:dyDescent="0.2">
      <c r="A252" s="836" t="s">
        <v>334</v>
      </c>
      <c r="B252" s="837" t="s">
        <v>1028</v>
      </c>
      <c r="C252" s="713"/>
      <c r="D252" s="713"/>
      <c r="E252" s="713"/>
      <c r="F252" s="713"/>
      <c r="G252" s="748">
        <v>2988.65</v>
      </c>
      <c r="H252" s="748">
        <v>35908.9</v>
      </c>
      <c r="I252" s="748">
        <v>37927</v>
      </c>
      <c r="J252" s="748">
        <v>39321.17</v>
      </c>
      <c r="K252" s="748">
        <v>39321.17</v>
      </c>
      <c r="L252" s="216">
        <f>+'Tab-22 ProfitPlan'!C252</f>
        <v>40000</v>
      </c>
      <c r="M252" s="216">
        <f t="shared" si="78"/>
        <v>678.83000000000175</v>
      </c>
      <c r="N252" s="263"/>
    </row>
    <row r="253" spans="1:14" x14ac:dyDescent="0.2">
      <c r="A253" s="836" t="s">
        <v>332</v>
      </c>
      <c r="B253" s="837" t="s">
        <v>1015</v>
      </c>
      <c r="C253" s="748">
        <v>25816.38</v>
      </c>
      <c r="D253" s="748">
        <v>32213.4</v>
      </c>
      <c r="E253" s="748">
        <v>33076.949999999997</v>
      </c>
      <c r="F253" s="748">
        <v>31283.9</v>
      </c>
      <c r="G253" s="748">
        <v>35556.99</v>
      </c>
      <c r="H253" s="748">
        <v>49121.84</v>
      </c>
      <c r="I253" s="748">
        <v>31948.3</v>
      </c>
      <c r="J253" s="748">
        <v>23741.040000000001</v>
      </c>
      <c r="K253" s="748">
        <v>23741.040000000001</v>
      </c>
      <c r="L253" s="216">
        <f>+'Tab-22 ProfitPlan'!C253</f>
        <v>15000</v>
      </c>
      <c r="M253" s="216">
        <f t="shared" si="78"/>
        <v>-8741.0400000000009</v>
      </c>
      <c r="N253" s="217"/>
    </row>
    <row r="254" spans="1:14" x14ac:dyDescent="0.2">
      <c r="A254" s="858" t="s">
        <v>331</v>
      </c>
      <c r="B254" s="833" t="s">
        <v>1029</v>
      </c>
      <c r="C254" s="748"/>
      <c r="D254" s="748"/>
      <c r="E254" s="748"/>
      <c r="F254" s="748"/>
      <c r="G254" s="713">
        <v>960.06</v>
      </c>
      <c r="H254" s="748">
        <v>4478.93</v>
      </c>
      <c r="I254" s="748">
        <v>9759.31</v>
      </c>
      <c r="J254" s="713">
        <v>7017.42</v>
      </c>
      <c r="K254" s="713">
        <v>7017.42</v>
      </c>
      <c r="L254" s="245">
        <f>+'Tab-22 ProfitPlan'!C254</f>
        <v>8000</v>
      </c>
      <c r="M254" s="245">
        <f t="shared" si="78"/>
        <v>982.57999999999993</v>
      </c>
      <c r="N254" s="217"/>
    </row>
    <row r="255" spans="1:14" x14ac:dyDescent="0.2">
      <c r="A255" s="836" t="s">
        <v>330</v>
      </c>
      <c r="B255" s="837" t="s">
        <v>329</v>
      </c>
      <c r="C255" s="748">
        <v>0</v>
      </c>
      <c r="D255" s="748">
        <v>0</v>
      </c>
      <c r="E255" s="748">
        <v>0</v>
      </c>
      <c r="F255" s="748">
        <v>0</v>
      </c>
      <c r="G255" s="748">
        <v>0</v>
      </c>
      <c r="H255" s="748"/>
      <c r="I255" s="748"/>
      <c r="J255" s="748">
        <v>0</v>
      </c>
      <c r="K255" s="748">
        <v>0</v>
      </c>
      <c r="L255" s="216">
        <f>+'Tab-22 ProfitPlan'!C255</f>
        <v>0</v>
      </c>
      <c r="M255" s="216">
        <f t="shared" si="78"/>
        <v>0</v>
      </c>
      <c r="N255" s="217"/>
    </row>
    <row r="256" spans="1:14" x14ac:dyDescent="0.2">
      <c r="A256" s="836" t="s">
        <v>328</v>
      </c>
      <c r="B256" s="837" t="s">
        <v>1017</v>
      </c>
      <c r="C256" s="748">
        <v>44935.93</v>
      </c>
      <c r="D256" s="748">
        <v>39863.69</v>
      </c>
      <c r="E256" s="748">
        <v>29771.51</v>
      </c>
      <c r="F256" s="748">
        <v>28710.89</v>
      </c>
      <c r="G256" s="748">
        <v>36368.980000000003</v>
      </c>
      <c r="H256" s="748">
        <v>34505.18</v>
      </c>
      <c r="I256" s="748">
        <v>28116.21</v>
      </c>
      <c r="J256" s="748">
        <v>24268.02</v>
      </c>
      <c r="K256" s="748">
        <v>24268.02</v>
      </c>
      <c r="L256" s="216">
        <f>+'Tab-22 ProfitPlan'!C256</f>
        <v>24000</v>
      </c>
      <c r="M256" s="216">
        <f t="shared" si="78"/>
        <v>-268.02000000000044</v>
      </c>
      <c r="N256" s="217"/>
    </row>
    <row r="257" spans="1:14" x14ac:dyDescent="0.2">
      <c r="A257" s="836" t="s">
        <v>327</v>
      </c>
      <c r="B257" s="837" t="s">
        <v>1030</v>
      </c>
      <c r="C257" s="748"/>
      <c r="D257" s="748"/>
      <c r="E257" s="748"/>
      <c r="F257" s="748"/>
      <c r="G257" s="748">
        <v>683.5</v>
      </c>
      <c r="H257" s="748">
        <v>2282.39</v>
      </c>
      <c r="I257" s="748">
        <v>2945.3</v>
      </c>
      <c r="J257" s="748">
        <v>4069.68</v>
      </c>
      <c r="K257" s="748">
        <v>4069.68</v>
      </c>
      <c r="L257" s="216">
        <f>+'Tab-22 ProfitPlan'!C257</f>
        <v>3000</v>
      </c>
      <c r="M257" s="216">
        <f t="shared" si="78"/>
        <v>-1069.6799999999998</v>
      </c>
      <c r="N257" s="217"/>
    </row>
    <row r="258" spans="1:14" x14ac:dyDescent="0.2">
      <c r="A258" s="839" t="s">
        <v>326</v>
      </c>
      <c r="B258" s="837" t="s">
        <v>325</v>
      </c>
      <c r="C258" s="748">
        <v>675.1</v>
      </c>
      <c r="D258" s="748">
        <v>5317.02</v>
      </c>
      <c r="E258" s="748">
        <v>7479.11</v>
      </c>
      <c r="F258" s="748">
        <v>7307.06</v>
      </c>
      <c r="G258" s="748">
        <v>7797.87</v>
      </c>
      <c r="H258" s="748">
        <v>8498.2099999999991</v>
      </c>
      <c r="I258" s="748">
        <v>7961.56</v>
      </c>
      <c r="J258" s="748">
        <v>6211.1</v>
      </c>
      <c r="K258" s="748">
        <v>6211.1</v>
      </c>
      <c r="L258" s="216">
        <f>+'Tab-22 ProfitPlan'!C258</f>
        <v>5000</v>
      </c>
      <c r="M258" s="216">
        <f t="shared" si="78"/>
        <v>-1211.1000000000004</v>
      </c>
      <c r="N258" s="217"/>
    </row>
    <row r="259" spans="1:14" x14ac:dyDescent="0.2">
      <c r="A259" s="836" t="s">
        <v>324</v>
      </c>
      <c r="B259" s="837" t="s">
        <v>1019</v>
      </c>
      <c r="C259" s="748">
        <v>12849.49</v>
      </c>
      <c r="D259" s="748">
        <v>14674.08</v>
      </c>
      <c r="E259" s="748">
        <v>16884.169999999998</v>
      </c>
      <c r="F259" s="748">
        <v>17128.849999999999</v>
      </c>
      <c r="G259" s="748">
        <v>22950.65</v>
      </c>
      <c r="H259" s="748">
        <v>20393.55</v>
      </c>
      <c r="I259" s="748">
        <v>12329.28</v>
      </c>
      <c r="J259" s="748">
        <v>4549.46</v>
      </c>
      <c r="K259" s="748">
        <v>4549.46</v>
      </c>
      <c r="L259" s="216">
        <f>+'Tab-22 ProfitPlan'!C259</f>
        <v>4500</v>
      </c>
      <c r="M259" s="216">
        <f t="shared" si="78"/>
        <v>-49.460000000000036</v>
      </c>
      <c r="N259" s="217"/>
    </row>
    <row r="260" spans="1:14" x14ac:dyDescent="0.2">
      <c r="A260" s="836" t="s">
        <v>323</v>
      </c>
      <c r="B260" s="837" t="s">
        <v>1031</v>
      </c>
      <c r="C260" s="748"/>
      <c r="D260" s="748"/>
      <c r="E260" s="748"/>
      <c r="F260" s="748"/>
      <c r="G260" s="748">
        <v>6547.3</v>
      </c>
      <c r="H260" s="748">
        <v>15723.37</v>
      </c>
      <c r="I260" s="748">
        <v>-33714.910000000003</v>
      </c>
      <c r="J260" s="748">
        <v>3078.51</v>
      </c>
      <c r="K260" s="748">
        <v>3078.51</v>
      </c>
      <c r="L260" s="216">
        <f>+'Tab-22 ProfitPlan'!C260</f>
        <v>3000</v>
      </c>
      <c r="M260" s="216">
        <f t="shared" si="78"/>
        <v>-78.510000000000218</v>
      </c>
      <c r="N260" s="217"/>
    </row>
    <row r="261" spans="1:14" x14ac:dyDescent="0.2">
      <c r="A261" s="836" t="s">
        <v>322</v>
      </c>
      <c r="B261" s="837" t="s">
        <v>321</v>
      </c>
      <c r="C261" s="748">
        <v>36.14</v>
      </c>
      <c r="D261" s="748">
        <v>0</v>
      </c>
      <c r="E261" s="748">
        <v>0</v>
      </c>
      <c r="F261" s="748">
        <v>69.87</v>
      </c>
      <c r="G261" s="748">
        <v>0</v>
      </c>
      <c r="H261" s="748"/>
      <c r="I261" s="748"/>
      <c r="J261" s="748">
        <v>423.46</v>
      </c>
      <c r="K261" s="748">
        <v>423.46</v>
      </c>
      <c r="L261" s="216">
        <f>+'Tab-22 ProfitPlan'!C261</f>
        <v>420</v>
      </c>
      <c r="M261" s="216">
        <f t="shared" si="78"/>
        <v>-3.4599999999999795</v>
      </c>
      <c r="N261" s="217"/>
    </row>
    <row r="262" spans="1:14" x14ac:dyDescent="0.2">
      <c r="A262" s="836" t="s">
        <v>320</v>
      </c>
      <c r="B262" s="837" t="s">
        <v>319</v>
      </c>
      <c r="C262" s="748">
        <v>15021.56</v>
      </c>
      <c r="D262" s="748">
        <v>10388.51</v>
      </c>
      <c r="E262" s="748">
        <v>9697.2900000000009</v>
      </c>
      <c r="F262" s="748">
        <v>7487.83</v>
      </c>
      <c r="G262" s="748">
        <v>10761.39</v>
      </c>
      <c r="H262" s="748">
        <v>9636.19</v>
      </c>
      <c r="I262" s="748">
        <v>7876.5</v>
      </c>
      <c r="J262" s="748">
        <v>2599.9899999999998</v>
      </c>
      <c r="K262" s="748">
        <v>2599.9899999999998</v>
      </c>
      <c r="L262" s="216">
        <f>+'Tab-22 ProfitPlan'!C262</f>
        <v>2600</v>
      </c>
      <c r="M262" s="216">
        <f t="shared" si="78"/>
        <v>1.0000000000218279E-2</v>
      </c>
      <c r="N262" s="217"/>
    </row>
    <row r="263" spans="1:14" x14ac:dyDescent="0.2">
      <c r="A263" s="836" t="s">
        <v>318</v>
      </c>
      <c r="B263" s="837" t="s">
        <v>317</v>
      </c>
      <c r="C263" s="748">
        <v>7387.96</v>
      </c>
      <c r="D263" s="748">
        <v>11057.37</v>
      </c>
      <c r="E263" s="748">
        <v>15229.01</v>
      </c>
      <c r="F263" s="748">
        <v>7852.89</v>
      </c>
      <c r="G263" s="748">
        <v>10922.92</v>
      </c>
      <c r="H263" s="748">
        <v>13135</v>
      </c>
      <c r="I263" s="748">
        <v>8877.39</v>
      </c>
      <c r="J263" s="748">
        <v>1115.6600000000001</v>
      </c>
      <c r="K263" s="748">
        <v>1115.6600000000001</v>
      </c>
      <c r="L263" s="216">
        <f>+'Tab-22 ProfitPlan'!C263</f>
        <v>1200</v>
      </c>
      <c r="M263" s="216">
        <f t="shared" si="78"/>
        <v>84.339999999999918</v>
      </c>
      <c r="N263" s="217"/>
    </row>
    <row r="264" spans="1:14" x14ac:dyDescent="0.2">
      <c r="A264" s="836" t="s">
        <v>316</v>
      </c>
      <c r="B264" s="837" t="s">
        <v>315</v>
      </c>
      <c r="C264" s="748">
        <v>1822.04</v>
      </c>
      <c r="D264" s="748">
        <v>1773.91</v>
      </c>
      <c r="E264" s="748">
        <v>1854.67</v>
      </c>
      <c r="F264" s="748">
        <v>4260.4399999999996</v>
      </c>
      <c r="G264" s="748">
        <v>1966.82</v>
      </c>
      <c r="H264" s="748">
        <v>2632.61</v>
      </c>
      <c r="I264" s="748">
        <v>1999.04</v>
      </c>
      <c r="J264" s="748">
        <v>894.79</v>
      </c>
      <c r="K264" s="748">
        <v>894.79</v>
      </c>
      <c r="L264" s="216">
        <f>+'Tab-22 ProfitPlan'!C264</f>
        <v>900</v>
      </c>
      <c r="M264" s="216">
        <f t="shared" si="78"/>
        <v>5.2100000000000364</v>
      </c>
      <c r="N264" s="217"/>
    </row>
    <row r="265" spans="1:14" x14ac:dyDescent="0.2">
      <c r="A265" s="836" t="s">
        <v>314</v>
      </c>
      <c r="B265" s="837" t="s">
        <v>313</v>
      </c>
      <c r="C265" s="748">
        <v>2205.7399999999998</v>
      </c>
      <c r="D265" s="748">
        <v>2015.88</v>
      </c>
      <c r="E265" s="748">
        <v>3224.58</v>
      </c>
      <c r="F265" s="748">
        <v>2161.4899999999998</v>
      </c>
      <c r="G265" s="748">
        <v>4409.0600000000004</v>
      </c>
      <c r="H265" s="748">
        <v>2941.58</v>
      </c>
      <c r="I265" s="748">
        <v>1904.31</v>
      </c>
      <c r="J265" s="748">
        <v>106.69</v>
      </c>
      <c r="K265" s="748">
        <v>106.69</v>
      </c>
      <c r="L265" s="216">
        <f>+'Tab-22 ProfitPlan'!C265</f>
        <v>120</v>
      </c>
      <c r="M265" s="216">
        <f t="shared" si="78"/>
        <v>13.310000000000002</v>
      </c>
      <c r="N265" s="217"/>
    </row>
    <row r="266" spans="1:14" x14ac:dyDescent="0.2">
      <c r="A266" s="234"/>
      <c r="B266" s="235"/>
      <c r="C266" s="217"/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</row>
    <row r="267" spans="1:14" ht="12" thickBot="1" x14ac:dyDescent="0.25">
      <c r="A267" s="261"/>
      <c r="B267" s="252" t="s">
        <v>956</v>
      </c>
      <c r="C267" s="253">
        <f t="shared" ref="C267:J267" si="81">SUM(C233:C266)</f>
        <v>323035.73</v>
      </c>
      <c r="D267" s="253">
        <f t="shared" si="81"/>
        <v>356661.95000000007</v>
      </c>
      <c r="E267" s="253">
        <f t="shared" si="81"/>
        <v>310693.95999999996</v>
      </c>
      <c r="F267" s="253">
        <f t="shared" si="81"/>
        <v>332306.88999999996</v>
      </c>
      <c r="G267" s="253">
        <f t="shared" si="81"/>
        <v>359461.88</v>
      </c>
      <c r="H267" s="253">
        <f t="shared" si="81"/>
        <v>396520.67</v>
      </c>
      <c r="I267" s="253">
        <f t="shared" si="81"/>
        <v>235178.23999999996</v>
      </c>
      <c r="J267" s="253">
        <f t="shared" si="81"/>
        <v>280438.03999999998</v>
      </c>
      <c r="K267" s="253">
        <f>SUM(K233:K266)</f>
        <v>280438.03999999998</v>
      </c>
      <c r="L267" s="253">
        <f>+'Tab-22 ProfitPlan'!C267</f>
        <v>228516</v>
      </c>
      <c r="M267" s="253">
        <f t="shared" si="78"/>
        <v>-51922.039999999979</v>
      </c>
      <c r="N267" s="217"/>
    </row>
    <row r="268" spans="1:14" x14ac:dyDescent="0.2">
      <c r="A268" s="214"/>
      <c r="B268" s="215"/>
      <c r="C268" s="216"/>
      <c r="D268" s="216"/>
      <c r="E268" s="216"/>
      <c r="F268" s="216"/>
      <c r="G268" s="216"/>
      <c r="H268" s="216"/>
      <c r="I268" s="216"/>
      <c r="J268" s="216"/>
      <c r="K268" s="216"/>
      <c r="L268" s="216"/>
      <c r="M268" s="216"/>
      <c r="N268" s="217"/>
    </row>
    <row r="269" spans="1:14" x14ac:dyDescent="0.2">
      <c r="A269" s="214"/>
      <c r="B269" s="244" t="s">
        <v>957</v>
      </c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7"/>
    </row>
    <row r="270" spans="1:14" x14ac:dyDescent="0.2">
      <c r="A270" s="836" t="s">
        <v>312</v>
      </c>
      <c r="B270" s="837" t="s">
        <v>863</v>
      </c>
      <c r="C270" s="589">
        <v>5708.61</v>
      </c>
      <c r="D270" s="589">
        <v>4138.12</v>
      </c>
      <c r="E270" s="589">
        <v>5132.05</v>
      </c>
      <c r="F270" s="589">
        <v>3926.26</v>
      </c>
      <c r="G270" s="589">
        <v>1963.13</v>
      </c>
      <c r="H270" s="748"/>
      <c r="I270" s="748"/>
      <c r="J270" s="589">
        <v>0</v>
      </c>
      <c r="K270" s="589">
        <v>0</v>
      </c>
      <c r="L270" s="264">
        <f>+'Tab-22 ProfitPlan'!C270</f>
        <v>0</v>
      </c>
      <c r="M270" s="264">
        <f t="shared" ref="M270:M331" si="82">+L270-K270</f>
        <v>0</v>
      </c>
      <c r="N270" s="265"/>
    </row>
    <row r="271" spans="1:14" x14ac:dyDescent="0.2">
      <c r="A271" s="836" t="s">
        <v>310</v>
      </c>
      <c r="B271" s="837" t="s">
        <v>862</v>
      </c>
      <c r="C271" s="589">
        <v>421.68</v>
      </c>
      <c r="D271" s="589">
        <v>421.68</v>
      </c>
      <c r="E271" s="589">
        <v>421.68</v>
      </c>
      <c r="F271" s="589">
        <v>421.68</v>
      </c>
      <c r="G271" s="589">
        <v>421.68</v>
      </c>
      <c r="H271" s="748">
        <v>421.68</v>
      </c>
      <c r="I271" s="748">
        <v>421.78</v>
      </c>
      <c r="J271" s="589">
        <v>0</v>
      </c>
      <c r="K271" s="589">
        <v>0</v>
      </c>
      <c r="L271" s="264">
        <f>+'Tab-22 ProfitPlan'!C271</f>
        <v>421.68</v>
      </c>
      <c r="M271" s="264">
        <f t="shared" si="82"/>
        <v>421.68</v>
      </c>
      <c r="N271" s="265"/>
    </row>
    <row r="272" spans="1:14" x14ac:dyDescent="0.2">
      <c r="A272" s="836" t="s">
        <v>304</v>
      </c>
      <c r="B272" s="837" t="s">
        <v>861</v>
      </c>
      <c r="C272" s="589">
        <v>69563.64</v>
      </c>
      <c r="D272" s="589">
        <v>116993.85</v>
      </c>
      <c r="E272" s="589">
        <v>73309.009999999995</v>
      </c>
      <c r="F272" s="589">
        <v>45948.93</v>
      </c>
      <c r="G272" s="589">
        <v>143868.84</v>
      </c>
      <c r="H272" s="748">
        <v>68226.66</v>
      </c>
      <c r="I272" s="748">
        <v>286.55</v>
      </c>
      <c r="J272" s="589">
        <v>0</v>
      </c>
      <c r="K272" s="589">
        <v>25033.72</v>
      </c>
      <c r="L272" s="264">
        <f>+'Tab-22 ProfitPlan'!C272</f>
        <v>0</v>
      </c>
      <c r="M272" s="264">
        <f t="shared" si="82"/>
        <v>-25033.72</v>
      </c>
      <c r="N272" s="265"/>
    </row>
    <row r="273" spans="1:14" x14ac:dyDescent="0.2">
      <c r="A273" s="839" t="s">
        <v>307</v>
      </c>
      <c r="B273" s="837" t="s">
        <v>860</v>
      </c>
      <c r="C273" s="589">
        <v>52112.36</v>
      </c>
      <c r="D273" s="589">
        <v>29008.33</v>
      </c>
      <c r="E273" s="589">
        <v>33479.68</v>
      </c>
      <c r="F273" s="589">
        <v>31125.99</v>
      </c>
      <c r="G273" s="589">
        <v>1127.6300000000001</v>
      </c>
      <c r="H273" s="748"/>
      <c r="I273" s="748">
        <v>4924.5</v>
      </c>
      <c r="J273" s="589">
        <v>0</v>
      </c>
      <c r="K273" s="589">
        <v>0</v>
      </c>
      <c r="L273" s="264">
        <f>+'Tab-22 ProfitPlan'!C273</f>
        <v>0</v>
      </c>
      <c r="M273" s="264">
        <f t="shared" si="82"/>
        <v>0</v>
      </c>
      <c r="N273" s="265"/>
    </row>
    <row r="274" spans="1:14" x14ac:dyDescent="0.2">
      <c r="A274" s="836" t="s">
        <v>304</v>
      </c>
      <c r="B274" s="837" t="s">
        <v>1032</v>
      </c>
      <c r="C274" s="589"/>
      <c r="D274" s="589"/>
      <c r="E274" s="589"/>
      <c r="F274" s="589">
        <v>0</v>
      </c>
      <c r="G274" s="589">
        <v>0</v>
      </c>
      <c r="H274" s="748"/>
      <c r="I274" s="748">
        <f>6555.34+29756.96+2350</f>
        <v>38662.300000000003</v>
      </c>
      <c r="J274" s="589">
        <v>0</v>
      </c>
      <c r="K274" s="589">
        <v>0</v>
      </c>
      <c r="L274" s="264">
        <f>+'Tab-22 ProfitPlan'!C274</f>
        <v>0</v>
      </c>
      <c r="M274" s="264">
        <f t="shared" si="82"/>
        <v>0</v>
      </c>
      <c r="N274" s="265"/>
    </row>
    <row r="275" spans="1:14" x14ac:dyDescent="0.2">
      <c r="A275" s="836" t="s">
        <v>304</v>
      </c>
      <c r="B275" s="837" t="s">
        <v>303</v>
      </c>
      <c r="C275" s="589"/>
      <c r="D275" s="589"/>
      <c r="E275" s="589"/>
      <c r="F275" s="589"/>
      <c r="G275" s="589"/>
      <c r="H275" s="748"/>
      <c r="I275" s="748"/>
      <c r="J275" s="589"/>
      <c r="K275" s="589"/>
      <c r="L275" s="264">
        <f>+'Tab-22 ProfitPlan'!C275</f>
        <v>0</v>
      </c>
      <c r="M275" s="264">
        <f t="shared" si="82"/>
        <v>0</v>
      </c>
      <c r="N275" s="265"/>
    </row>
    <row r="276" spans="1:14" x14ac:dyDescent="0.2">
      <c r="A276" s="839" t="s">
        <v>302</v>
      </c>
      <c r="B276" s="837" t="s">
        <v>301</v>
      </c>
      <c r="C276" s="589">
        <v>0</v>
      </c>
      <c r="D276" s="589">
        <v>0</v>
      </c>
      <c r="E276" s="589">
        <v>0</v>
      </c>
      <c r="F276" s="589">
        <v>0</v>
      </c>
      <c r="G276" s="589">
        <v>1193.72</v>
      </c>
      <c r="H276" s="748"/>
      <c r="I276" s="748"/>
      <c r="J276" s="589">
        <v>0</v>
      </c>
      <c r="K276" s="589">
        <v>421.68</v>
      </c>
      <c r="L276" s="265">
        <f>+'Tab-22 ProfitPlan'!C276</f>
        <v>0</v>
      </c>
      <c r="M276" s="265">
        <f t="shared" si="82"/>
        <v>-421.68</v>
      </c>
      <c r="N276" s="265"/>
    </row>
    <row r="277" spans="1:14" x14ac:dyDescent="0.2">
      <c r="A277" s="225"/>
      <c r="B277" s="215"/>
      <c r="C277" s="264"/>
      <c r="D277" s="264"/>
      <c r="E277" s="264"/>
      <c r="F277" s="264"/>
      <c r="G277" s="264"/>
      <c r="H277" s="264"/>
      <c r="I277" s="264"/>
      <c r="J277" s="264"/>
      <c r="K277" s="264"/>
      <c r="L277" s="264"/>
      <c r="M277" s="264"/>
      <c r="N277" s="265"/>
    </row>
    <row r="278" spans="1:14" ht="12" thickBot="1" x14ac:dyDescent="0.25">
      <c r="A278" s="252" t="s">
        <v>958</v>
      </c>
      <c r="B278" s="266"/>
      <c r="C278" s="267">
        <f t="shared" ref="C278:J278" si="83">SUM(C269:C277)</f>
        <v>127806.29</v>
      </c>
      <c r="D278" s="267">
        <f t="shared" si="83"/>
        <v>150561.98000000001</v>
      </c>
      <c r="E278" s="267">
        <f t="shared" si="83"/>
        <v>112342.41999999998</v>
      </c>
      <c r="F278" s="267">
        <f t="shared" si="83"/>
        <v>81422.86</v>
      </c>
      <c r="G278" s="267">
        <f t="shared" si="83"/>
        <v>148575</v>
      </c>
      <c r="H278" s="267">
        <f t="shared" si="83"/>
        <v>68648.34</v>
      </c>
      <c r="I278" s="267">
        <f t="shared" si="83"/>
        <v>44295.130000000005</v>
      </c>
      <c r="J278" s="267">
        <f t="shared" si="83"/>
        <v>0</v>
      </c>
      <c r="K278" s="267">
        <f>SUM(K269:K277)</f>
        <v>25455.4</v>
      </c>
      <c r="L278" s="267">
        <f>+'Tab-22 ProfitPlan'!C278</f>
        <v>421.68</v>
      </c>
      <c r="M278" s="267">
        <f t="shared" si="82"/>
        <v>-25033.72</v>
      </c>
      <c r="N278" s="265"/>
    </row>
    <row r="279" spans="1:14" x14ac:dyDescent="0.2">
      <c r="A279" s="225"/>
      <c r="B279" s="215"/>
      <c r="C279" s="264"/>
      <c r="D279" s="264"/>
      <c r="E279" s="264"/>
      <c r="F279" s="264"/>
      <c r="G279" s="264"/>
      <c r="H279" s="264"/>
      <c r="I279" s="264"/>
      <c r="J279" s="264"/>
      <c r="K279" s="264"/>
      <c r="L279" s="264"/>
      <c r="M279" s="264"/>
      <c r="N279" s="265"/>
    </row>
    <row r="280" spans="1:14" x14ac:dyDescent="0.2">
      <c r="A280" s="225"/>
      <c r="B280" s="244" t="s">
        <v>959</v>
      </c>
      <c r="C280" s="264"/>
      <c r="D280" s="264"/>
      <c r="E280" s="264"/>
      <c r="F280" s="264"/>
      <c r="G280" s="264"/>
      <c r="H280" s="264"/>
      <c r="I280" s="264"/>
      <c r="J280" s="264"/>
      <c r="K280" s="264"/>
      <c r="L280" s="264"/>
      <c r="M280" s="264"/>
      <c r="N280" s="265"/>
    </row>
    <row r="281" spans="1:14" x14ac:dyDescent="0.2">
      <c r="A281" s="836" t="s">
        <v>859</v>
      </c>
      <c r="B281" s="837" t="s">
        <v>1021</v>
      </c>
      <c r="C281" s="748">
        <v>0</v>
      </c>
      <c r="D281" s="748">
        <v>0</v>
      </c>
      <c r="E281" s="748">
        <v>0</v>
      </c>
      <c r="F281" s="748">
        <v>0</v>
      </c>
      <c r="G281" s="748">
        <v>0</v>
      </c>
      <c r="H281" s="748"/>
      <c r="I281" s="748"/>
      <c r="J281" s="748">
        <v>15</v>
      </c>
      <c r="K281" s="748">
        <v>0</v>
      </c>
      <c r="L281" s="216">
        <f>+'Tab-22 ProfitPlan'!C281</f>
        <v>0</v>
      </c>
      <c r="M281" s="216">
        <f t="shared" si="82"/>
        <v>0</v>
      </c>
      <c r="N281" s="217"/>
    </row>
    <row r="282" spans="1:14" x14ac:dyDescent="0.2">
      <c r="A282" s="836" t="s">
        <v>300</v>
      </c>
      <c r="B282" s="837" t="s">
        <v>1021</v>
      </c>
      <c r="C282" s="748">
        <v>0</v>
      </c>
      <c r="D282" s="748">
        <v>0</v>
      </c>
      <c r="E282" s="748">
        <v>0</v>
      </c>
      <c r="F282" s="748">
        <v>0</v>
      </c>
      <c r="G282" s="748">
        <v>0</v>
      </c>
      <c r="H282" s="748"/>
      <c r="I282" s="748"/>
      <c r="J282" s="748">
        <v>0</v>
      </c>
      <c r="K282" s="748">
        <v>0</v>
      </c>
      <c r="L282" s="216">
        <f>+'Tab-22 ProfitPlan'!C282</f>
        <v>0</v>
      </c>
      <c r="M282" s="216">
        <f t="shared" si="82"/>
        <v>0</v>
      </c>
      <c r="N282" s="217"/>
    </row>
    <row r="283" spans="1:14" x14ac:dyDescent="0.2">
      <c r="A283" s="836" t="s">
        <v>299</v>
      </c>
      <c r="B283" s="837" t="s">
        <v>1021</v>
      </c>
      <c r="C283" s="748">
        <v>0</v>
      </c>
      <c r="D283" s="748">
        <v>0</v>
      </c>
      <c r="E283" s="748">
        <v>0</v>
      </c>
      <c r="F283" s="748">
        <v>0</v>
      </c>
      <c r="G283" s="748">
        <v>0</v>
      </c>
      <c r="H283" s="748"/>
      <c r="I283" s="748"/>
      <c r="J283" s="748">
        <v>0</v>
      </c>
      <c r="K283" s="748">
        <v>0</v>
      </c>
      <c r="L283" s="216">
        <f>+'Tab-22 ProfitPlan'!C283</f>
        <v>0</v>
      </c>
      <c r="M283" s="216">
        <f t="shared" si="82"/>
        <v>0</v>
      </c>
      <c r="N283" s="217"/>
    </row>
    <row r="284" spans="1:14" x14ac:dyDescent="0.2">
      <c r="A284" s="836" t="s">
        <v>295</v>
      </c>
      <c r="B284" s="837" t="s">
        <v>414</v>
      </c>
      <c r="C284" s="748">
        <v>0</v>
      </c>
      <c r="D284" s="748">
        <v>0</v>
      </c>
      <c r="E284" s="748">
        <v>0</v>
      </c>
      <c r="F284" s="748"/>
      <c r="G284" s="748"/>
      <c r="H284" s="748"/>
      <c r="I284" s="748"/>
      <c r="J284" s="748"/>
      <c r="K284" s="748">
        <v>0</v>
      </c>
      <c r="L284" s="216">
        <f>+'Tab-22 ProfitPlan'!C284</f>
        <v>0</v>
      </c>
      <c r="M284" s="216">
        <f t="shared" si="82"/>
        <v>0</v>
      </c>
      <c r="N284" s="217"/>
    </row>
    <row r="285" spans="1:14" x14ac:dyDescent="0.2">
      <c r="A285" s="836" t="s">
        <v>293</v>
      </c>
      <c r="B285" s="837" t="s">
        <v>298</v>
      </c>
      <c r="C285" s="748">
        <v>0</v>
      </c>
      <c r="D285" s="748">
        <v>0</v>
      </c>
      <c r="E285" s="748">
        <v>0</v>
      </c>
      <c r="F285" s="748">
        <v>0</v>
      </c>
      <c r="G285" s="748">
        <v>0</v>
      </c>
      <c r="H285" s="748"/>
      <c r="I285" s="748"/>
      <c r="J285" s="748">
        <v>320</v>
      </c>
      <c r="K285" s="748">
        <v>0</v>
      </c>
      <c r="L285" s="216">
        <f>+'Tab-22 ProfitPlan'!C285</f>
        <v>0</v>
      </c>
      <c r="M285" s="216">
        <f t="shared" si="82"/>
        <v>0</v>
      </c>
      <c r="N285" s="217"/>
    </row>
    <row r="286" spans="1:14" x14ac:dyDescent="0.2">
      <c r="A286" s="836" t="s">
        <v>297</v>
      </c>
      <c r="B286" s="837" t="s">
        <v>296</v>
      </c>
      <c r="C286" s="748">
        <v>0</v>
      </c>
      <c r="D286" s="748">
        <v>0</v>
      </c>
      <c r="E286" s="748">
        <v>0</v>
      </c>
      <c r="F286" s="748">
        <v>0</v>
      </c>
      <c r="G286" s="748">
        <v>0</v>
      </c>
      <c r="H286" s="748"/>
      <c r="I286" s="748"/>
      <c r="J286" s="748">
        <v>0</v>
      </c>
      <c r="K286" s="748">
        <v>0</v>
      </c>
      <c r="L286" s="216">
        <f>+'Tab-22 ProfitPlan'!C286</f>
        <v>0</v>
      </c>
      <c r="M286" s="216">
        <f t="shared" si="82"/>
        <v>0</v>
      </c>
      <c r="N286" s="217"/>
    </row>
    <row r="287" spans="1:14" x14ac:dyDescent="0.2">
      <c r="A287" s="836" t="s">
        <v>858</v>
      </c>
      <c r="B287" s="837" t="s">
        <v>294</v>
      </c>
      <c r="C287" s="748">
        <v>0</v>
      </c>
      <c r="D287" s="748">
        <v>0</v>
      </c>
      <c r="E287" s="748">
        <v>4681</v>
      </c>
      <c r="F287" s="748">
        <v>530</v>
      </c>
      <c r="G287" s="748">
        <v>0</v>
      </c>
      <c r="H287" s="748">
        <v>4771.09</v>
      </c>
      <c r="I287" s="748">
        <v>550</v>
      </c>
      <c r="J287" s="748">
        <v>0</v>
      </c>
      <c r="K287" s="748">
        <v>0</v>
      </c>
      <c r="L287" s="216">
        <f>+'Tab-22 ProfitPlan'!C287</f>
        <v>0</v>
      </c>
      <c r="M287" s="216">
        <f t="shared" si="82"/>
        <v>0</v>
      </c>
      <c r="N287" s="217"/>
    </row>
    <row r="288" spans="1:14" x14ac:dyDescent="0.2">
      <c r="A288" s="836" t="s">
        <v>293</v>
      </c>
      <c r="B288" s="837" t="s">
        <v>292</v>
      </c>
      <c r="C288" s="748">
        <v>0</v>
      </c>
      <c r="D288" s="748">
        <v>0</v>
      </c>
      <c r="E288" s="748">
        <v>1464</v>
      </c>
      <c r="F288" s="748">
        <v>223.11</v>
      </c>
      <c r="G288" s="748">
        <v>0</v>
      </c>
      <c r="H288" s="748">
        <v>2105</v>
      </c>
      <c r="I288" s="748">
        <v>836.98</v>
      </c>
      <c r="J288" s="748">
        <v>0</v>
      </c>
      <c r="K288" s="748">
        <v>0</v>
      </c>
      <c r="L288" s="217">
        <f>+'Tab-22 ProfitPlan'!C288</f>
        <v>0</v>
      </c>
      <c r="M288" s="217">
        <f t="shared" si="82"/>
        <v>0</v>
      </c>
      <c r="N288" s="217"/>
    </row>
    <row r="289" spans="1:14" x14ac:dyDescent="0.2">
      <c r="A289" s="214"/>
      <c r="B289" s="215"/>
      <c r="C289" s="216"/>
      <c r="D289" s="216"/>
      <c r="E289" s="216"/>
      <c r="F289" s="216"/>
      <c r="G289" s="216"/>
      <c r="H289" s="216"/>
      <c r="I289" s="216"/>
      <c r="J289" s="216"/>
      <c r="K289" s="216"/>
      <c r="L289" s="216"/>
      <c r="M289" s="216"/>
      <c r="N289" s="217"/>
    </row>
    <row r="290" spans="1:14" ht="12" thickBot="1" x14ac:dyDescent="0.25">
      <c r="A290" s="261"/>
      <c r="B290" s="252" t="s">
        <v>960</v>
      </c>
      <c r="C290" s="253">
        <f t="shared" ref="C290:J290" si="84">SUM(C280:C289)</f>
        <v>0</v>
      </c>
      <c r="D290" s="253">
        <f t="shared" si="84"/>
        <v>0</v>
      </c>
      <c r="E290" s="253">
        <f t="shared" si="84"/>
        <v>6145</v>
      </c>
      <c r="F290" s="253">
        <f t="shared" si="84"/>
        <v>753.11</v>
      </c>
      <c r="G290" s="253">
        <f t="shared" si="84"/>
        <v>0</v>
      </c>
      <c r="H290" s="253">
        <f t="shared" si="84"/>
        <v>6876.09</v>
      </c>
      <c r="I290" s="253">
        <f t="shared" si="84"/>
        <v>1386.98</v>
      </c>
      <c r="J290" s="253">
        <f t="shared" si="84"/>
        <v>335</v>
      </c>
      <c r="K290" s="253">
        <f>SUM(K280:K289)</f>
        <v>0</v>
      </c>
      <c r="L290" s="253">
        <f>+'Tab-22 ProfitPlan'!C290</f>
        <v>0</v>
      </c>
      <c r="M290" s="253">
        <f t="shared" si="82"/>
        <v>0</v>
      </c>
      <c r="N290" s="217"/>
    </row>
    <row r="291" spans="1:14" x14ac:dyDescent="0.2">
      <c r="A291" s="214"/>
      <c r="B291" s="215"/>
      <c r="C291" s="216"/>
      <c r="D291" s="216"/>
      <c r="E291" s="216"/>
      <c r="F291" s="216"/>
      <c r="G291" s="216"/>
      <c r="H291" s="216"/>
      <c r="I291" s="216"/>
      <c r="J291" s="216"/>
      <c r="K291" s="216"/>
      <c r="L291" s="216"/>
      <c r="M291" s="216"/>
      <c r="N291" s="217"/>
    </row>
    <row r="292" spans="1:14" x14ac:dyDescent="0.2">
      <c r="A292" s="214"/>
      <c r="B292" s="244" t="s">
        <v>961</v>
      </c>
      <c r="C292" s="216"/>
      <c r="D292" s="216"/>
      <c r="E292" s="216"/>
      <c r="F292" s="216"/>
      <c r="G292" s="216"/>
      <c r="H292" s="216"/>
      <c r="I292" s="216"/>
      <c r="J292" s="216"/>
      <c r="K292" s="216"/>
      <c r="L292" s="216"/>
      <c r="M292" s="216"/>
      <c r="N292" s="217"/>
    </row>
    <row r="293" spans="1:14" x14ac:dyDescent="0.2">
      <c r="A293" s="836" t="s">
        <v>291</v>
      </c>
      <c r="B293" s="837" t="s">
        <v>857</v>
      </c>
      <c r="C293" s="748">
        <v>980.57</v>
      </c>
      <c r="D293" s="748">
        <v>0</v>
      </c>
      <c r="E293" s="748">
        <v>0</v>
      </c>
      <c r="F293" s="748">
        <v>3526.37</v>
      </c>
      <c r="G293" s="748">
        <v>3133.62</v>
      </c>
      <c r="H293" s="748"/>
      <c r="I293" s="748"/>
      <c r="J293" s="748">
        <v>0</v>
      </c>
      <c r="K293" s="748">
        <v>0</v>
      </c>
      <c r="L293" s="216">
        <f>+'Tab-22 ProfitPlan'!C293</f>
        <v>0</v>
      </c>
      <c r="M293" s="216">
        <f t="shared" si="82"/>
        <v>0</v>
      </c>
      <c r="N293" s="217"/>
    </row>
    <row r="294" spans="1:14" x14ac:dyDescent="0.2">
      <c r="A294" s="836" t="s">
        <v>289</v>
      </c>
      <c r="B294" s="837" t="s">
        <v>288</v>
      </c>
      <c r="C294" s="748">
        <v>135.78</v>
      </c>
      <c r="D294" s="748">
        <v>0</v>
      </c>
      <c r="E294" s="748">
        <v>2150</v>
      </c>
      <c r="F294" s="748">
        <v>0</v>
      </c>
      <c r="G294" s="748">
        <v>600</v>
      </c>
      <c r="H294" s="748"/>
      <c r="I294" s="748"/>
      <c r="J294" s="748">
        <v>0</v>
      </c>
      <c r="K294" s="748">
        <v>0</v>
      </c>
      <c r="L294" s="216">
        <f>+'Tab-22 ProfitPlan'!C294</f>
        <v>0</v>
      </c>
      <c r="M294" s="216">
        <f t="shared" si="82"/>
        <v>0</v>
      </c>
      <c r="N294" s="217"/>
    </row>
    <row r="295" spans="1:14" x14ac:dyDescent="0.2">
      <c r="A295" s="839" t="s">
        <v>287</v>
      </c>
      <c r="B295" s="837" t="s">
        <v>1033</v>
      </c>
      <c r="C295" s="748">
        <v>16528.98</v>
      </c>
      <c r="D295" s="748">
        <v>16286.17</v>
      </c>
      <c r="E295" s="748">
        <v>15257.09</v>
      </c>
      <c r="F295" s="748">
        <v>15092.99</v>
      </c>
      <c r="G295" s="748">
        <v>17197.61</v>
      </c>
      <c r="H295" s="748">
        <v>25862.41</v>
      </c>
      <c r="I295" s="748">
        <v>11863.47</v>
      </c>
      <c r="J295" s="748">
        <v>2654.91</v>
      </c>
      <c r="K295" s="748">
        <v>690.44</v>
      </c>
      <c r="L295" s="216">
        <f>+'Tab-22 ProfitPlan'!C295</f>
        <v>700</v>
      </c>
      <c r="M295" s="216">
        <f t="shared" si="82"/>
        <v>9.5599999999999454</v>
      </c>
      <c r="N295" s="217"/>
    </row>
    <row r="296" spans="1:14" x14ac:dyDescent="0.2">
      <c r="A296" s="836" t="s">
        <v>285</v>
      </c>
      <c r="B296" s="837" t="s">
        <v>1034</v>
      </c>
      <c r="C296" s="748"/>
      <c r="D296" s="748"/>
      <c r="E296" s="748"/>
      <c r="F296" s="748"/>
      <c r="G296" s="748">
        <v>891.98</v>
      </c>
      <c r="H296" s="748">
        <v>3894.88</v>
      </c>
      <c r="I296" s="748">
        <v>4248.96</v>
      </c>
      <c r="J296" s="748">
        <v>4248.96</v>
      </c>
      <c r="K296" s="748">
        <v>3540.8</v>
      </c>
      <c r="L296" s="216">
        <f>+'Tab-22 ProfitPlan'!C296</f>
        <v>3600</v>
      </c>
      <c r="M296" s="216">
        <f t="shared" si="82"/>
        <v>59.199999999999818</v>
      </c>
      <c r="N296" s="217"/>
    </row>
    <row r="297" spans="1:14" x14ac:dyDescent="0.2">
      <c r="A297" s="836" t="s">
        <v>283</v>
      </c>
      <c r="B297" s="837" t="s">
        <v>282</v>
      </c>
      <c r="C297" s="748"/>
      <c r="D297" s="748"/>
      <c r="E297" s="748"/>
      <c r="F297" s="748">
        <v>187.48</v>
      </c>
      <c r="G297" s="748">
        <v>599.95000000000005</v>
      </c>
      <c r="H297" s="748"/>
      <c r="I297" s="748"/>
      <c r="J297" s="748">
        <v>0</v>
      </c>
      <c r="K297" s="748">
        <v>0</v>
      </c>
      <c r="L297" s="216">
        <f>+'Tab-22 ProfitPlan'!C297</f>
        <v>0</v>
      </c>
      <c r="M297" s="216">
        <f t="shared" si="82"/>
        <v>0</v>
      </c>
      <c r="N297" s="217"/>
    </row>
    <row r="298" spans="1:14" x14ac:dyDescent="0.2">
      <c r="A298" s="836" t="s">
        <v>281</v>
      </c>
      <c r="B298" s="837" t="s">
        <v>1035</v>
      </c>
      <c r="C298" s="748"/>
      <c r="D298" s="748">
        <v>2770.87</v>
      </c>
      <c r="E298" s="748">
        <v>4707.1099999999997</v>
      </c>
      <c r="F298" s="748">
        <v>5248.15</v>
      </c>
      <c r="G298" s="748">
        <v>6015.39</v>
      </c>
      <c r="H298" s="748">
        <v>5869.73</v>
      </c>
      <c r="I298" s="748">
        <v>3782.41</v>
      </c>
      <c r="J298" s="748">
        <v>0</v>
      </c>
      <c r="K298" s="748">
        <v>0</v>
      </c>
      <c r="L298" s="216">
        <f>+'Tab-22 ProfitPlan'!C298</f>
        <v>0</v>
      </c>
      <c r="M298" s="216">
        <f t="shared" si="82"/>
        <v>0</v>
      </c>
      <c r="N298" s="217"/>
    </row>
    <row r="299" spans="1:14" x14ac:dyDescent="0.2">
      <c r="A299" s="836" t="s">
        <v>279</v>
      </c>
      <c r="B299" s="837" t="s">
        <v>278</v>
      </c>
      <c r="C299" s="748">
        <v>24060.78</v>
      </c>
      <c r="D299" s="748">
        <v>37886.43</v>
      </c>
      <c r="E299" s="748">
        <v>23351.06</v>
      </c>
      <c r="F299" s="748">
        <v>30856.74</v>
      </c>
      <c r="G299" s="748">
        <v>54148.92</v>
      </c>
      <c r="H299" s="748">
        <v>29960.77</v>
      </c>
      <c r="I299" s="748">
        <v>8645.94</v>
      </c>
      <c r="J299" s="748">
        <v>4131.3999999999996</v>
      </c>
      <c r="K299" s="748"/>
      <c r="L299" s="216">
        <f>+'Tab-22 ProfitPlan'!C299</f>
        <v>3600</v>
      </c>
      <c r="M299" s="216">
        <f t="shared" ref="M299" si="85">+L299-K299</f>
        <v>3600</v>
      </c>
      <c r="N299" s="217"/>
    </row>
    <row r="300" spans="1:14" x14ac:dyDescent="0.2">
      <c r="A300" s="836" t="s">
        <v>277</v>
      </c>
      <c r="B300" s="837" t="s">
        <v>276</v>
      </c>
      <c r="C300" s="748">
        <v>13677.78</v>
      </c>
      <c r="D300" s="748">
        <v>67029.14</v>
      </c>
      <c r="E300" s="748">
        <v>56314.29</v>
      </c>
      <c r="F300" s="748">
        <v>16460.93</v>
      </c>
      <c r="G300" s="748">
        <v>118780.21</v>
      </c>
      <c r="H300" s="748">
        <v>131440.16</v>
      </c>
      <c r="I300" s="748">
        <v>100331.04</v>
      </c>
      <c r="J300" s="748">
        <v>75480.7</v>
      </c>
      <c r="K300" s="748">
        <v>3542.22</v>
      </c>
      <c r="L300" s="216">
        <f>+'Tab-22 ProfitPlan'!C299</f>
        <v>3600</v>
      </c>
      <c r="M300" s="216">
        <f t="shared" si="82"/>
        <v>57.7800000000002</v>
      </c>
      <c r="N300" s="217"/>
    </row>
    <row r="301" spans="1:14" x14ac:dyDescent="0.2">
      <c r="A301" s="836" t="s">
        <v>275</v>
      </c>
      <c r="B301" s="837" t="s">
        <v>274</v>
      </c>
      <c r="C301" s="748">
        <v>68647.58</v>
      </c>
      <c r="D301" s="748">
        <v>33481.9</v>
      </c>
      <c r="E301" s="748">
        <v>5872.1</v>
      </c>
      <c r="F301" s="748">
        <v>26727.72</v>
      </c>
      <c r="G301" s="748">
        <v>55454.5</v>
      </c>
      <c r="H301" s="748">
        <v>2803.78</v>
      </c>
      <c r="I301" s="748">
        <v>2649.92</v>
      </c>
      <c r="J301" s="748">
        <v>1270.51</v>
      </c>
      <c r="K301" s="748">
        <v>58573.37</v>
      </c>
      <c r="L301" s="216">
        <f>+'Tab-22 ProfitPlan'!C300</f>
        <v>60000</v>
      </c>
      <c r="M301" s="216">
        <f t="shared" si="82"/>
        <v>1426.6299999999974</v>
      </c>
      <c r="N301" s="217"/>
    </row>
    <row r="302" spans="1:14" x14ac:dyDescent="0.2">
      <c r="A302" s="836" t="s">
        <v>273</v>
      </c>
      <c r="B302" s="837" t="s">
        <v>272</v>
      </c>
      <c r="C302" s="748"/>
      <c r="D302" s="748">
        <v>32833.5</v>
      </c>
      <c r="E302" s="748">
        <v>36453.89</v>
      </c>
      <c r="F302" s="748">
        <v>45231.040000000001</v>
      </c>
      <c r="G302" s="748">
        <v>0</v>
      </c>
      <c r="H302" s="748"/>
      <c r="I302" s="748"/>
      <c r="J302" s="748">
        <v>0</v>
      </c>
      <c r="K302" s="748">
        <v>69.95</v>
      </c>
      <c r="L302" s="216">
        <f>+'Tab-22 ProfitPlan'!C301</f>
        <v>0</v>
      </c>
      <c r="M302" s="216">
        <f t="shared" si="82"/>
        <v>-69.95</v>
      </c>
      <c r="N302" s="217"/>
    </row>
    <row r="303" spans="1:14" x14ac:dyDescent="0.2">
      <c r="A303" s="836" t="s">
        <v>271</v>
      </c>
      <c r="B303" s="837" t="s">
        <v>987</v>
      </c>
      <c r="C303" s="748"/>
      <c r="D303" s="748">
        <v>6713.95</v>
      </c>
      <c r="E303" s="748">
        <v>240.9</v>
      </c>
      <c r="F303" s="748">
        <v>0</v>
      </c>
      <c r="G303" s="748">
        <v>6408</v>
      </c>
      <c r="H303" s="748">
        <v>8559</v>
      </c>
      <c r="I303" s="748">
        <v>7303.5</v>
      </c>
      <c r="J303" s="748">
        <v>3928.5</v>
      </c>
      <c r="K303" s="748">
        <v>0</v>
      </c>
      <c r="L303" s="216">
        <f>+'Tab-22 ProfitPlan'!C302</f>
        <v>0</v>
      </c>
      <c r="M303" s="216">
        <f t="shared" si="82"/>
        <v>0</v>
      </c>
      <c r="N303" s="217"/>
    </row>
    <row r="304" spans="1:14" x14ac:dyDescent="0.2">
      <c r="A304" s="836" t="s">
        <v>270</v>
      </c>
      <c r="B304" s="837" t="s">
        <v>269</v>
      </c>
      <c r="C304" s="748"/>
      <c r="D304" s="748">
        <v>4668.95</v>
      </c>
      <c r="E304" s="748">
        <v>7074.5</v>
      </c>
      <c r="F304" s="748">
        <v>9565.2800000000007</v>
      </c>
      <c r="G304" s="748">
        <v>12017.39</v>
      </c>
      <c r="H304" s="748">
        <v>6321.56</v>
      </c>
      <c r="I304" s="748">
        <v>13443.14</v>
      </c>
      <c r="J304" s="748">
        <v>450</v>
      </c>
      <c r="K304" s="748">
        <v>4495.5</v>
      </c>
      <c r="L304" s="216">
        <f>+'Tab-22 ProfitPlan'!C303</f>
        <v>4500</v>
      </c>
      <c r="M304" s="216">
        <f t="shared" si="82"/>
        <v>4.5</v>
      </c>
      <c r="N304" s="217"/>
    </row>
    <row r="305" spans="1:14" x14ac:dyDescent="0.2">
      <c r="A305" s="836" t="s">
        <v>940</v>
      </c>
      <c r="B305" s="837" t="s">
        <v>941</v>
      </c>
      <c r="C305" s="748"/>
      <c r="D305" s="748"/>
      <c r="E305" s="748"/>
      <c r="F305" s="748"/>
      <c r="G305" s="748"/>
      <c r="H305" s="748"/>
      <c r="I305" s="748"/>
      <c r="J305" s="748"/>
      <c r="K305" s="748"/>
      <c r="L305" s="216">
        <f>+'Tab-22 ProfitPlan'!C304</f>
        <v>3600</v>
      </c>
      <c r="M305" s="216">
        <f t="shared" ref="M305" si="86">+L305-K305</f>
        <v>3600</v>
      </c>
      <c r="N305" s="217"/>
    </row>
    <row r="306" spans="1:14" x14ac:dyDescent="0.2">
      <c r="A306" s="836" t="s">
        <v>268</v>
      </c>
      <c r="B306" s="837" t="s">
        <v>267</v>
      </c>
      <c r="C306" s="748">
        <v>28748.02</v>
      </c>
      <c r="D306" s="748">
        <v>23667.62</v>
      </c>
      <c r="E306" s="748">
        <v>22352.49</v>
      </c>
      <c r="F306" s="748">
        <v>19295.79</v>
      </c>
      <c r="G306" s="748">
        <v>37339.519999999997</v>
      </c>
      <c r="H306" s="748">
        <v>17827.57</v>
      </c>
      <c r="I306" s="748">
        <v>16851.55</v>
      </c>
      <c r="J306" s="748">
        <v>15740.61</v>
      </c>
      <c r="K306" s="748">
        <v>0</v>
      </c>
      <c r="L306" s="216">
        <f>+'Tab-22 ProfitPlan'!C304</f>
        <v>3600</v>
      </c>
      <c r="M306" s="216">
        <f t="shared" si="82"/>
        <v>3600</v>
      </c>
      <c r="N306" s="217"/>
    </row>
    <row r="307" spans="1:14" x14ac:dyDescent="0.2">
      <c r="A307" s="839" t="s">
        <v>266</v>
      </c>
      <c r="B307" s="837" t="s">
        <v>265</v>
      </c>
      <c r="C307" s="748">
        <v>14098.15</v>
      </c>
      <c r="D307" s="748">
        <v>0</v>
      </c>
      <c r="E307" s="748">
        <v>30196.15</v>
      </c>
      <c r="F307" s="748">
        <v>46857.85</v>
      </c>
      <c r="G307" s="748">
        <v>46101.13</v>
      </c>
      <c r="H307" s="748">
        <v>59238.14</v>
      </c>
      <c r="I307" s="748">
        <v>56004.69</v>
      </c>
      <c r="J307" s="748">
        <v>27882.45</v>
      </c>
      <c r="K307" s="748">
        <v>895.37</v>
      </c>
      <c r="L307" s="216">
        <f>+'Tab-22 ProfitPlan'!C305</f>
        <v>0</v>
      </c>
      <c r="M307" s="216">
        <f t="shared" si="82"/>
        <v>-895.37</v>
      </c>
      <c r="N307" s="217"/>
    </row>
    <row r="308" spans="1:14" x14ac:dyDescent="0.2">
      <c r="A308" s="836" t="s">
        <v>283</v>
      </c>
      <c r="B308" s="837" t="s">
        <v>263</v>
      </c>
      <c r="C308" s="748"/>
      <c r="D308" s="748"/>
      <c r="E308" s="748"/>
      <c r="F308" s="748">
        <v>5508.46</v>
      </c>
      <c r="G308" s="748">
        <v>1623.62</v>
      </c>
      <c r="H308" s="748">
        <v>3332.16</v>
      </c>
      <c r="I308" s="748"/>
      <c r="J308" s="748">
        <v>0</v>
      </c>
      <c r="K308" s="748">
        <v>7788.9</v>
      </c>
      <c r="L308" s="216">
        <f>+'Tab-22 ProfitPlan'!C306</f>
        <v>7000</v>
      </c>
      <c r="M308" s="216">
        <f t="shared" si="82"/>
        <v>-788.89999999999964</v>
      </c>
      <c r="N308" s="217"/>
    </row>
    <row r="309" spans="1:14" x14ac:dyDescent="0.2">
      <c r="A309" s="836" t="s">
        <v>262</v>
      </c>
      <c r="B309" s="837" t="s">
        <v>261</v>
      </c>
      <c r="C309" s="748">
        <v>-18968.5</v>
      </c>
      <c r="D309" s="748">
        <v>-69983.22</v>
      </c>
      <c r="E309" s="748">
        <v>-54764.25</v>
      </c>
      <c r="F309" s="748">
        <v>-45215.25</v>
      </c>
      <c r="G309" s="748">
        <v>-64465.25</v>
      </c>
      <c r="H309" s="748">
        <v>-45116.79</v>
      </c>
      <c r="I309" s="748">
        <v>-25477.07</v>
      </c>
      <c r="J309" s="748">
        <v>-4390</v>
      </c>
      <c r="K309" s="748">
        <v>6369.24</v>
      </c>
      <c r="L309" s="216">
        <f>+'Tab-22 ProfitPlan'!C307</f>
        <v>6000</v>
      </c>
      <c r="M309" s="216">
        <f t="shared" si="82"/>
        <v>-369.23999999999978</v>
      </c>
      <c r="N309" s="217"/>
    </row>
    <row r="310" spans="1:14" s="59" customFormat="1" x14ac:dyDescent="0.2">
      <c r="A310" s="836" t="s">
        <v>260</v>
      </c>
      <c r="B310" s="837" t="s">
        <v>259</v>
      </c>
      <c r="C310" s="748">
        <v>0</v>
      </c>
      <c r="D310" s="748">
        <v>0</v>
      </c>
      <c r="E310" s="748">
        <v>0</v>
      </c>
      <c r="F310" s="748">
        <v>0</v>
      </c>
      <c r="G310" s="748">
        <v>0</v>
      </c>
      <c r="H310" s="748"/>
      <c r="I310" s="748"/>
      <c r="J310" s="748">
        <v>0</v>
      </c>
      <c r="K310" s="748">
        <v>0</v>
      </c>
      <c r="L310" s="217">
        <f>+'Tab-22 ProfitPlan'!C308</f>
        <v>0</v>
      </c>
      <c r="M310" s="217">
        <f t="shared" si="82"/>
        <v>0</v>
      </c>
      <c r="N310" s="217"/>
    </row>
    <row r="311" spans="1:14" x14ac:dyDescent="0.2">
      <c r="A311" s="234"/>
      <c r="B311" s="235"/>
      <c r="C311" s="217"/>
      <c r="D311" s="217"/>
      <c r="E311" s="217"/>
      <c r="F311" s="217"/>
      <c r="G311" s="217"/>
      <c r="H311" s="217"/>
      <c r="I311" s="217"/>
      <c r="J311" s="217"/>
      <c r="K311" s="217"/>
      <c r="L311" s="217"/>
      <c r="M311" s="217"/>
      <c r="N311" s="217"/>
    </row>
    <row r="312" spans="1:14" ht="12" thickBot="1" x14ac:dyDescent="0.25">
      <c r="A312" s="252" t="s">
        <v>962</v>
      </c>
      <c r="B312" s="266"/>
      <c r="C312" s="253">
        <f t="shared" ref="C312:K312" si="87">SUM(C292:C311)</f>
        <v>147909.13999999998</v>
      </c>
      <c r="D312" s="253">
        <f t="shared" si="87"/>
        <v>155355.31000000003</v>
      </c>
      <c r="E312" s="253">
        <f t="shared" si="87"/>
        <v>149205.32999999999</v>
      </c>
      <c r="F312" s="253">
        <f t="shared" si="87"/>
        <v>179343.55000000002</v>
      </c>
      <c r="G312" s="253">
        <f t="shared" si="87"/>
        <v>295846.59000000003</v>
      </c>
      <c r="H312" s="253">
        <f t="shared" si="87"/>
        <v>249993.36999999997</v>
      </c>
      <c r="I312" s="253">
        <f t="shared" si="87"/>
        <v>199647.55</v>
      </c>
      <c r="J312" s="253">
        <f t="shared" si="87"/>
        <v>131398.04</v>
      </c>
      <c r="K312" s="253">
        <f t="shared" si="87"/>
        <v>85965.79</v>
      </c>
      <c r="L312" s="253">
        <f>+'Tab-22 ProfitPlan'!C312</f>
        <v>88400</v>
      </c>
      <c r="M312" s="253">
        <f t="shared" si="82"/>
        <v>2434.2100000000064</v>
      </c>
      <c r="N312" s="217"/>
    </row>
    <row r="313" spans="1:14" x14ac:dyDescent="0.2">
      <c r="A313" s="234"/>
      <c r="B313" s="235"/>
      <c r="C313" s="217"/>
      <c r="D313" s="217"/>
      <c r="E313" s="217"/>
      <c r="F313" s="217"/>
      <c r="G313" s="217"/>
      <c r="H313" s="217"/>
      <c r="I313" s="217"/>
      <c r="J313" s="217"/>
      <c r="K313" s="217"/>
      <c r="L313" s="217"/>
      <c r="M313" s="217"/>
      <c r="N313" s="217"/>
    </row>
    <row r="314" spans="1:14" x14ac:dyDescent="0.2">
      <c r="A314" s="239"/>
      <c r="B314" s="204"/>
      <c r="C314" s="232"/>
      <c r="D314" s="232"/>
      <c r="E314" s="232"/>
      <c r="F314" s="232"/>
      <c r="G314" s="232"/>
      <c r="H314" s="232"/>
      <c r="I314" s="232"/>
      <c r="J314" s="232"/>
      <c r="K314" s="232"/>
      <c r="L314" s="232"/>
      <c r="M314" s="232"/>
      <c r="N314" s="263"/>
    </row>
    <row r="315" spans="1:14" s="59" customFormat="1" x14ac:dyDescent="0.2">
      <c r="A315" s="209"/>
      <c r="B315" s="210"/>
      <c r="C315" s="217"/>
      <c r="D315" s="217"/>
      <c r="E315" s="217"/>
      <c r="F315" s="217"/>
      <c r="G315" s="217"/>
      <c r="H315" s="217"/>
      <c r="I315" s="217"/>
      <c r="J315" s="217"/>
      <c r="K315" s="217"/>
      <c r="L315" s="217"/>
      <c r="M315" s="217"/>
      <c r="N315" s="217"/>
    </row>
    <row r="316" spans="1:14" ht="12" thickBot="1" x14ac:dyDescent="0.25">
      <c r="A316" s="211"/>
      <c r="B316" s="212" t="s">
        <v>258</v>
      </c>
      <c r="C316" s="254">
        <f t="shared" ref="C316:K316" si="88">C312+C290+C278+C267+C231+C208+C188+C169</f>
        <v>1190841.5799999998</v>
      </c>
      <c r="D316" s="254">
        <f t="shared" si="88"/>
        <v>1388661.37</v>
      </c>
      <c r="E316" s="254">
        <f t="shared" si="88"/>
        <v>1342620.1099999999</v>
      </c>
      <c r="F316" s="254">
        <f t="shared" si="88"/>
        <v>1470981.92</v>
      </c>
      <c r="G316" s="254">
        <f t="shared" si="88"/>
        <v>1749861.96</v>
      </c>
      <c r="H316" s="254">
        <f t="shared" si="88"/>
        <v>1770106.9</v>
      </c>
      <c r="I316" s="254">
        <f t="shared" si="88"/>
        <v>1243091.94</v>
      </c>
      <c r="J316" s="254">
        <f t="shared" si="88"/>
        <v>1069148.1100000001</v>
      </c>
      <c r="K316" s="254">
        <f t="shared" si="88"/>
        <v>795406.63</v>
      </c>
      <c r="L316" s="254">
        <f>+'Tab-22 ProfitPlan'!C316</f>
        <v>693002.10596682504</v>
      </c>
      <c r="M316" s="254">
        <f t="shared" si="82"/>
        <v>-102404.52403317497</v>
      </c>
      <c r="N316" s="224"/>
    </row>
    <row r="317" spans="1:14" x14ac:dyDescent="0.2">
      <c r="C317" s="255"/>
      <c r="D317" s="255"/>
      <c r="E317" s="255"/>
      <c r="F317" s="255"/>
      <c r="G317" s="255"/>
      <c r="H317" s="255"/>
      <c r="I317" s="255"/>
      <c r="J317" s="255"/>
      <c r="K317" s="255"/>
      <c r="L317" s="255"/>
      <c r="M317" s="255"/>
      <c r="N317" s="224"/>
    </row>
    <row r="318" spans="1:14" x14ac:dyDescent="0.2">
      <c r="C318" s="216"/>
      <c r="D318" s="216"/>
      <c r="E318" s="216"/>
      <c r="F318" s="216"/>
      <c r="G318" s="216"/>
      <c r="H318" s="216"/>
      <c r="I318" s="216"/>
      <c r="J318" s="216"/>
      <c r="K318" s="216"/>
      <c r="L318" s="216"/>
      <c r="M318" s="216"/>
      <c r="N318" s="217"/>
    </row>
    <row r="319" spans="1:14" ht="12" thickBot="1" x14ac:dyDescent="0.25">
      <c r="A319" s="258"/>
      <c r="B319" s="222" t="s">
        <v>257</v>
      </c>
      <c r="C319" s="254">
        <f t="shared" ref="C319:K319" si="89">C316+C159+C152</f>
        <v>2123550.19</v>
      </c>
      <c r="D319" s="254">
        <f t="shared" si="89"/>
        <v>2433051.4700000002</v>
      </c>
      <c r="E319" s="254">
        <f t="shared" si="89"/>
        <v>2500369.5499999998</v>
      </c>
      <c r="F319" s="254">
        <f t="shared" si="89"/>
        <v>2690777.5</v>
      </c>
      <c r="G319" s="254">
        <f t="shared" si="89"/>
        <v>2925108.31</v>
      </c>
      <c r="H319" s="254">
        <f t="shared" si="89"/>
        <v>3362353.05</v>
      </c>
      <c r="I319" s="254">
        <f t="shared" si="89"/>
        <v>2216218.7999999998</v>
      </c>
      <c r="J319" s="254">
        <f t="shared" si="89"/>
        <v>1875186.47</v>
      </c>
      <c r="K319" s="254">
        <f t="shared" si="89"/>
        <v>1243247.5699999998</v>
      </c>
      <c r="L319" s="254">
        <f>+'Tab-22 ProfitPlan'!C319</f>
        <v>1333636.2810245173</v>
      </c>
      <c r="M319" s="254">
        <f t="shared" si="82"/>
        <v>90388.711024517426</v>
      </c>
      <c r="N319" s="224"/>
    </row>
    <row r="320" spans="1:14" x14ac:dyDescent="0.2">
      <c r="A320" s="220"/>
      <c r="B320" s="221"/>
      <c r="C320" s="255"/>
      <c r="D320" s="255"/>
      <c r="E320" s="255"/>
      <c r="F320" s="255"/>
      <c r="G320" s="255"/>
      <c r="H320" s="255"/>
      <c r="I320" s="255"/>
      <c r="J320" s="255"/>
      <c r="K320" s="255"/>
      <c r="L320" s="255"/>
      <c r="M320" s="255"/>
      <c r="N320" s="224"/>
    </row>
    <row r="321" spans="1:14" x14ac:dyDescent="0.2">
      <c r="C321" s="216"/>
      <c r="D321" s="216"/>
      <c r="E321" s="216"/>
      <c r="F321" s="216"/>
      <c r="G321" s="216"/>
      <c r="H321" s="216"/>
      <c r="I321" s="216"/>
      <c r="J321" s="216"/>
      <c r="K321" s="216"/>
      <c r="L321" s="216"/>
      <c r="M321" s="216"/>
      <c r="N321" s="217"/>
    </row>
    <row r="322" spans="1:14" s="268" customFormat="1" ht="12" thickBot="1" x14ac:dyDescent="0.25">
      <c r="A322" s="256"/>
      <c r="B322" s="212" t="s">
        <v>198</v>
      </c>
      <c r="C322" s="223">
        <f t="shared" ref="C322:K322" si="90">C140-C319</f>
        <v>1516299.8300000015</v>
      </c>
      <c r="D322" s="223">
        <f t="shared" si="90"/>
        <v>563994.5299999998</v>
      </c>
      <c r="E322" s="223">
        <f t="shared" si="90"/>
        <v>1030456.600000001</v>
      </c>
      <c r="F322" s="223">
        <f t="shared" si="90"/>
        <v>1253759.5399999991</v>
      </c>
      <c r="G322" s="223">
        <f t="shared" si="90"/>
        <v>1479900.3400000012</v>
      </c>
      <c r="H322" s="223">
        <f t="shared" si="90"/>
        <v>652772.49000000022</v>
      </c>
      <c r="I322" s="223">
        <f t="shared" si="90"/>
        <v>-194698.63999999966</v>
      </c>
      <c r="J322" s="223">
        <f t="shared" si="90"/>
        <v>-122644.61999999965</v>
      </c>
      <c r="K322" s="223">
        <f t="shared" si="90"/>
        <v>-674948.99999999965</v>
      </c>
      <c r="L322" s="223">
        <f>+'Tab-22 ProfitPlan'!C322</f>
        <v>372545.22981396562</v>
      </c>
      <c r="M322" s="223">
        <f t="shared" si="82"/>
        <v>1047494.2298139653</v>
      </c>
      <c r="N322" s="224"/>
    </row>
    <row r="323" spans="1:14" x14ac:dyDescent="0.2">
      <c r="A323" s="209"/>
      <c r="B323" s="210"/>
      <c r="C323" s="216"/>
      <c r="D323" s="216"/>
      <c r="E323" s="216"/>
      <c r="F323" s="216"/>
      <c r="G323" s="216"/>
      <c r="H323" s="216"/>
      <c r="I323" s="216"/>
      <c r="J323" s="216"/>
      <c r="K323" s="216"/>
      <c r="L323" s="216"/>
      <c r="M323" s="216"/>
      <c r="N323" s="217"/>
    </row>
    <row r="324" spans="1:14" s="59" customFormat="1" ht="12" thickBot="1" x14ac:dyDescent="0.25">
      <c r="A324" s="211"/>
      <c r="B324" s="212" t="s">
        <v>256</v>
      </c>
      <c r="C324" s="219"/>
      <c r="D324" s="219"/>
      <c r="E324" s="219"/>
      <c r="F324" s="219"/>
      <c r="G324" s="219"/>
      <c r="H324" s="219"/>
      <c r="I324" s="219"/>
      <c r="J324" s="219"/>
      <c r="K324" s="219"/>
      <c r="L324" s="219"/>
      <c r="M324" s="219"/>
      <c r="N324" s="217"/>
    </row>
    <row r="325" spans="1:14" x14ac:dyDescent="0.2">
      <c r="A325" s="859" t="s">
        <v>255</v>
      </c>
      <c r="B325" s="860" t="s">
        <v>254</v>
      </c>
      <c r="C325" s="748">
        <v>-6683</v>
      </c>
      <c r="D325" s="748">
        <v>-4695.4399999999996</v>
      </c>
      <c r="E325" s="748">
        <v>-14977.12</v>
      </c>
      <c r="F325" s="748">
        <v>-25057.040000000001</v>
      </c>
      <c r="G325" s="748">
        <v>-53733.74</v>
      </c>
      <c r="H325" s="748">
        <v>-10696.46</v>
      </c>
      <c r="I325" s="748">
        <v>-1949.9</v>
      </c>
      <c r="J325" s="748">
        <v>-542.5</v>
      </c>
      <c r="K325" s="748">
        <v>0</v>
      </c>
      <c r="L325" s="216">
        <f>+'Tab-22 ProfitPlan'!C325</f>
        <v>165</v>
      </c>
      <c r="M325" s="216">
        <f t="shared" si="82"/>
        <v>165</v>
      </c>
      <c r="N325" s="217"/>
    </row>
    <row r="326" spans="1:14" x14ac:dyDescent="0.2">
      <c r="A326" s="859" t="s">
        <v>690</v>
      </c>
      <c r="B326" s="860" t="s">
        <v>252</v>
      </c>
      <c r="C326" s="748">
        <v>-696.01</v>
      </c>
      <c r="D326" s="748">
        <v>-771.69</v>
      </c>
      <c r="E326" s="748">
        <v>-1490.83</v>
      </c>
      <c r="F326" s="748">
        <v>0</v>
      </c>
      <c r="G326" s="748">
        <v>-2902.87</v>
      </c>
      <c r="H326" s="748">
        <v>-7763.99</v>
      </c>
      <c r="I326" s="748">
        <v>-8183.13</v>
      </c>
      <c r="J326" s="748">
        <v>0</v>
      </c>
      <c r="K326" s="748">
        <v>0</v>
      </c>
      <c r="L326" s="216">
        <f>+'Tab-22 ProfitPlan'!C326</f>
        <v>0</v>
      </c>
      <c r="M326" s="216">
        <f t="shared" si="82"/>
        <v>0</v>
      </c>
      <c r="N326" s="217"/>
    </row>
    <row r="327" spans="1:14" x14ac:dyDescent="0.2">
      <c r="A327" s="859" t="s">
        <v>251</v>
      </c>
      <c r="B327" s="860" t="s">
        <v>250</v>
      </c>
      <c r="C327" s="748">
        <v>0</v>
      </c>
      <c r="D327" s="748">
        <v>0</v>
      </c>
      <c r="E327" s="748">
        <v>0</v>
      </c>
      <c r="F327" s="748">
        <v>0</v>
      </c>
      <c r="G327" s="748">
        <v>0</v>
      </c>
      <c r="H327" s="748"/>
      <c r="I327" s="748"/>
      <c r="J327" s="748">
        <v>0</v>
      </c>
      <c r="K327" s="748">
        <v>9999</v>
      </c>
      <c r="L327" s="216">
        <f>+'Tab-22 ProfitPlan'!C327</f>
        <v>0</v>
      </c>
      <c r="M327" s="216">
        <f t="shared" si="82"/>
        <v>-9999</v>
      </c>
      <c r="N327" s="217"/>
    </row>
    <row r="328" spans="1:14" ht="12" thickBot="1" x14ac:dyDescent="0.25">
      <c r="A328" s="861" t="s">
        <v>249</v>
      </c>
      <c r="B328" s="862" t="s">
        <v>248</v>
      </c>
      <c r="C328" s="842">
        <v>-50921.57</v>
      </c>
      <c r="D328" s="842">
        <v>-26025.32</v>
      </c>
      <c r="E328" s="842">
        <v>-22629.45</v>
      </c>
      <c r="F328" s="842">
        <v>0</v>
      </c>
      <c r="G328" s="842">
        <v>-16917.75</v>
      </c>
      <c r="H328" s="842"/>
      <c r="I328" s="842"/>
      <c r="J328" s="842">
        <v>-109930.06</v>
      </c>
      <c r="K328" s="842">
        <v>-60083.93</v>
      </c>
      <c r="L328" s="219">
        <f>+'Tab-22 ProfitPlan'!C328</f>
        <v>0</v>
      </c>
      <c r="M328" s="219">
        <f t="shared" si="82"/>
        <v>60083.93</v>
      </c>
      <c r="N328" s="217"/>
    </row>
    <row r="329" spans="1:14" x14ac:dyDescent="0.2">
      <c r="A329" s="863"/>
      <c r="B329" s="864"/>
      <c r="C329" s="216"/>
      <c r="D329" s="216"/>
      <c r="E329" s="216"/>
      <c r="F329" s="216"/>
      <c r="G329" s="216"/>
      <c r="H329" s="216"/>
      <c r="I329" s="216"/>
      <c r="J329" s="216"/>
      <c r="K329" s="216"/>
      <c r="L329" s="216"/>
      <c r="M329" s="216"/>
      <c r="N329" s="217"/>
    </row>
    <row r="330" spans="1:14" ht="12" thickBot="1" x14ac:dyDescent="0.25">
      <c r="A330" s="211"/>
      <c r="B330" s="247" t="s">
        <v>247</v>
      </c>
      <c r="C330" s="223">
        <f t="shared" ref="C330" si="91">SUM(C324:C329)</f>
        <v>-58300.58</v>
      </c>
      <c r="D330" s="223">
        <f t="shared" ref="D330" si="92">SUM(D324:D329)</f>
        <v>-31492.449999999997</v>
      </c>
      <c r="E330" s="223">
        <f t="shared" ref="E330" si="93">SUM(E324:E329)</f>
        <v>-39097.4</v>
      </c>
      <c r="F330" s="223">
        <f t="shared" ref="F330" si="94">SUM(F324:F329)</f>
        <v>-25057.040000000001</v>
      </c>
      <c r="G330" s="223">
        <f t="shared" ref="G330" si="95">SUM(G324:G329)</f>
        <v>-73554.36</v>
      </c>
      <c r="H330" s="223">
        <f t="shared" ref="H330" si="96">SUM(H324:H329)</f>
        <v>-18460.449999999997</v>
      </c>
      <c r="I330" s="223">
        <f t="shared" ref="I330" si="97">SUM(I324:I329)</f>
        <v>-10133.030000000001</v>
      </c>
      <c r="J330" s="223">
        <f t="shared" ref="J330" si="98">SUM(J324:J329)</f>
        <v>-110472.56</v>
      </c>
      <c r="K330" s="223">
        <f t="shared" ref="K330" si="99">SUM(K324:K329)</f>
        <v>-50084.93</v>
      </c>
      <c r="L330" s="223">
        <f>+'Tab-22 ProfitPlan'!C330</f>
        <v>165</v>
      </c>
      <c r="M330" s="223">
        <f t="shared" si="82"/>
        <v>50249.93</v>
      </c>
      <c r="N330" s="224"/>
    </row>
    <row r="331" spans="1:14" x14ac:dyDescent="0.2">
      <c r="C331" s="216"/>
      <c r="D331" s="216"/>
      <c r="E331" s="216"/>
      <c r="F331" s="216"/>
      <c r="G331" s="216"/>
      <c r="H331" s="216"/>
      <c r="I331" s="216"/>
      <c r="J331" s="216"/>
      <c r="K331" s="216"/>
      <c r="L331" s="216"/>
      <c r="M331" s="216">
        <f t="shared" si="82"/>
        <v>0</v>
      </c>
      <c r="N331" s="217"/>
    </row>
    <row r="332" spans="1:14" ht="12" thickBot="1" x14ac:dyDescent="0.25">
      <c r="A332" s="211"/>
      <c r="B332" s="212" t="s">
        <v>246</v>
      </c>
      <c r="C332" s="219"/>
      <c r="D332" s="219"/>
      <c r="E332" s="219"/>
      <c r="F332" s="219"/>
      <c r="G332" s="219"/>
      <c r="H332" s="219"/>
      <c r="I332" s="219"/>
      <c r="J332" s="219"/>
      <c r="K332" s="219"/>
      <c r="L332" s="219"/>
      <c r="M332" s="219">
        <f t="shared" ref="M332:M394" si="100">+L332-K332</f>
        <v>0</v>
      </c>
      <c r="N332" s="217"/>
    </row>
    <row r="333" spans="1:14" x14ac:dyDescent="0.2">
      <c r="A333" s="836" t="s">
        <v>245</v>
      </c>
      <c r="B333" s="837" t="s">
        <v>244</v>
      </c>
      <c r="C333" s="748"/>
      <c r="D333" s="748"/>
      <c r="E333" s="748"/>
      <c r="F333" s="748">
        <v>20989.119999999999</v>
      </c>
      <c r="G333" s="748">
        <v>0</v>
      </c>
      <c r="H333" s="748">
        <v>145413.91</v>
      </c>
      <c r="I333" s="748">
        <v>254648.79</v>
      </c>
      <c r="J333" s="748">
        <v>46282.95</v>
      </c>
      <c r="K333" s="748">
        <v>-6612.97</v>
      </c>
      <c r="L333" s="216">
        <f>+'Tab-22 ProfitPlan'!C333</f>
        <v>0</v>
      </c>
      <c r="M333" s="216">
        <f t="shared" si="100"/>
        <v>6612.97</v>
      </c>
      <c r="N333" s="217"/>
    </row>
    <row r="334" spans="1:14" x14ac:dyDescent="0.2">
      <c r="A334" s="836" t="s">
        <v>243</v>
      </c>
      <c r="B334" s="837" t="s">
        <v>242</v>
      </c>
      <c r="C334" s="748">
        <v>28181.64</v>
      </c>
      <c r="D334" s="748">
        <v>2399.9699999999998</v>
      </c>
      <c r="E334" s="748">
        <v>18405.150000000001</v>
      </c>
      <c r="F334" s="748">
        <v>36545.18</v>
      </c>
      <c r="G334" s="748">
        <v>38801.599999999999</v>
      </c>
      <c r="H334" s="748">
        <v>792.69</v>
      </c>
      <c r="I334" s="748">
        <v>361.94</v>
      </c>
      <c r="J334" s="748">
        <v>0</v>
      </c>
      <c r="K334" s="748">
        <v>0</v>
      </c>
      <c r="L334" s="216">
        <f>+'Tab-22 ProfitPlan'!C334</f>
        <v>2646.1350379060968</v>
      </c>
      <c r="M334" s="216">
        <f t="shared" si="100"/>
        <v>2646.1350379060968</v>
      </c>
      <c r="N334" s="217"/>
    </row>
    <row r="335" spans="1:14" x14ac:dyDescent="0.2">
      <c r="A335" s="836" t="s">
        <v>241</v>
      </c>
      <c r="B335" s="837" t="s">
        <v>240</v>
      </c>
      <c r="C335" s="748">
        <v>391263.88</v>
      </c>
      <c r="D335" s="748">
        <v>120189.14</v>
      </c>
      <c r="E335" s="748">
        <v>300382.90000000002</v>
      </c>
      <c r="F335" s="748">
        <v>561489.66</v>
      </c>
      <c r="G335" s="748">
        <v>619510.68999999994</v>
      </c>
      <c r="H335" s="748">
        <v>54668.43</v>
      </c>
      <c r="I335" s="748">
        <v>24961.86</v>
      </c>
      <c r="J335" s="748">
        <v>0</v>
      </c>
      <c r="K335" s="748">
        <v>0</v>
      </c>
      <c r="L335" s="216">
        <f>+'Tab-22 ProfitPlan'!C335</f>
        <v>37408.201291730758</v>
      </c>
      <c r="M335" s="216">
        <f t="shared" si="100"/>
        <v>37408.201291730758</v>
      </c>
      <c r="N335" s="217"/>
    </row>
    <row r="336" spans="1:14" ht="12" thickBot="1" x14ac:dyDescent="0.25">
      <c r="A336" s="836" t="s">
        <v>239</v>
      </c>
      <c r="B336" s="837" t="s">
        <v>238</v>
      </c>
      <c r="C336" s="842">
        <v>375325.56</v>
      </c>
      <c r="D336" s="842">
        <v>378295.19</v>
      </c>
      <c r="E336" s="842">
        <v>410022.55</v>
      </c>
      <c r="F336" s="842">
        <v>470912.92</v>
      </c>
      <c r="G336" s="842">
        <v>515795.31</v>
      </c>
      <c r="H336" s="842">
        <v>3646.95</v>
      </c>
      <c r="I336" s="842"/>
      <c r="J336" s="842">
        <v>0</v>
      </c>
      <c r="K336" s="842">
        <v>0</v>
      </c>
      <c r="L336" s="219">
        <f>+'Tab-22 ProfitPlan'!C336</f>
        <v>38530.44733048269</v>
      </c>
      <c r="M336" s="219">
        <f t="shared" si="100"/>
        <v>38530.44733048269</v>
      </c>
      <c r="N336" s="217"/>
    </row>
    <row r="337" spans="1:14" x14ac:dyDescent="0.2">
      <c r="A337" s="220"/>
      <c r="B337" s="221"/>
      <c r="C337" s="216"/>
      <c r="D337" s="216"/>
      <c r="E337" s="216"/>
      <c r="F337" s="216"/>
      <c r="G337" s="216"/>
      <c r="H337" s="216"/>
      <c r="I337" s="216"/>
      <c r="J337" s="216"/>
      <c r="K337" s="216"/>
      <c r="L337" s="216"/>
      <c r="M337" s="216"/>
      <c r="N337" s="217"/>
    </row>
    <row r="338" spans="1:14" ht="12" thickBot="1" x14ac:dyDescent="0.25">
      <c r="A338" s="211"/>
      <c r="B338" s="212" t="s">
        <v>237</v>
      </c>
      <c r="C338" s="223">
        <f t="shared" ref="C338" si="101">SUM(C332:C337)</f>
        <v>794771.08000000007</v>
      </c>
      <c r="D338" s="223">
        <f t="shared" ref="D338" si="102">SUM(D332:D337)</f>
        <v>500884.3</v>
      </c>
      <c r="E338" s="223">
        <f t="shared" ref="E338" si="103">SUM(E332:E337)</f>
        <v>728810.60000000009</v>
      </c>
      <c r="F338" s="223">
        <f t="shared" ref="F338" si="104">SUM(F332:F337)</f>
        <v>1089936.8800000001</v>
      </c>
      <c r="G338" s="223">
        <f t="shared" ref="G338" si="105">SUM(G332:G337)</f>
        <v>1174107.5999999999</v>
      </c>
      <c r="H338" s="223">
        <f t="shared" ref="H338" si="106">SUM(H332:H337)</f>
        <v>204521.98</v>
      </c>
      <c r="I338" s="223">
        <f t="shared" ref="I338" si="107">SUM(I332:I337)</f>
        <v>279972.59000000003</v>
      </c>
      <c r="J338" s="223">
        <f t="shared" ref="J338" si="108">SUM(J332:J337)</f>
        <v>46282.95</v>
      </c>
      <c r="K338" s="223">
        <f t="shared" ref="K338" si="109">SUM(K332:K337)</f>
        <v>-6612.97</v>
      </c>
      <c r="L338" s="223">
        <f>+'Tab-22 ProfitPlan'!C338</f>
        <v>78584.783660119545</v>
      </c>
      <c r="M338" s="223">
        <f t="shared" si="100"/>
        <v>85197.753660119546</v>
      </c>
      <c r="N338" s="224"/>
    </row>
    <row r="339" spans="1:14" x14ac:dyDescent="0.2">
      <c r="C339" s="216"/>
      <c r="D339" s="216"/>
      <c r="E339" s="216"/>
      <c r="F339" s="216"/>
      <c r="G339" s="216"/>
      <c r="H339" s="216"/>
      <c r="I339" s="216"/>
      <c r="J339" s="216"/>
      <c r="K339" s="216"/>
      <c r="L339" s="216"/>
      <c r="M339" s="216"/>
      <c r="N339" s="217"/>
    </row>
    <row r="340" spans="1:14" x14ac:dyDescent="0.2">
      <c r="B340" s="222" t="s">
        <v>236</v>
      </c>
      <c r="C340" s="254">
        <f t="shared" ref="C340:J340" si="110">C322-C330-C338</f>
        <v>779829.33000000147</v>
      </c>
      <c r="D340" s="254">
        <f t="shared" si="110"/>
        <v>94602.67999999976</v>
      </c>
      <c r="E340" s="254">
        <f t="shared" si="110"/>
        <v>340743.40000000084</v>
      </c>
      <c r="F340" s="254">
        <f t="shared" si="110"/>
        <v>188879.69999999902</v>
      </c>
      <c r="G340" s="254">
        <f t="shared" si="110"/>
        <v>379347.10000000149</v>
      </c>
      <c r="H340" s="254">
        <f t="shared" si="110"/>
        <v>466710.9600000002</v>
      </c>
      <c r="I340" s="254">
        <f t="shared" si="110"/>
        <v>-464538.19999999972</v>
      </c>
      <c r="J340" s="254">
        <f t="shared" si="110"/>
        <v>-58455.009999999646</v>
      </c>
      <c r="K340" s="254">
        <f t="shared" ref="K340" si="111">K322-K330-K338</f>
        <v>-618251.09999999963</v>
      </c>
      <c r="L340" s="254">
        <f>+'Tab-22 ProfitPlan'!C340</f>
        <v>294125.4461538461</v>
      </c>
      <c r="M340" s="254">
        <f t="shared" si="100"/>
        <v>912376.54615384573</v>
      </c>
      <c r="N340" s="224"/>
    </row>
    <row r="341" spans="1:14" x14ac:dyDescent="0.2">
      <c r="C341" s="216"/>
      <c r="D341" s="216"/>
      <c r="E341" s="216"/>
      <c r="F341" s="216"/>
      <c r="G341" s="216"/>
      <c r="H341" s="216"/>
      <c r="I341" s="216"/>
      <c r="J341" s="216"/>
      <c r="K341" s="216"/>
      <c r="L341" s="216"/>
      <c r="M341" s="216"/>
      <c r="N341" s="217"/>
    </row>
    <row r="342" spans="1:14" s="59" customFormat="1" ht="12" thickBot="1" x14ac:dyDescent="0.25">
      <c r="A342" s="836" t="s">
        <v>235</v>
      </c>
      <c r="B342" s="837" t="s">
        <v>234</v>
      </c>
      <c r="C342" s="842">
        <v>302328</v>
      </c>
      <c r="D342" s="842">
        <v>43349</v>
      </c>
      <c r="E342" s="842">
        <v>129661</v>
      </c>
      <c r="F342" s="842">
        <v>72175</v>
      </c>
      <c r="G342" s="842">
        <v>143553</v>
      </c>
      <c r="H342" s="842">
        <v>165869</v>
      </c>
      <c r="I342" s="842"/>
      <c r="J342" s="842">
        <v>0</v>
      </c>
      <c r="K342" s="842">
        <v>-210854</v>
      </c>
      <c r="L342" s="219">
        <f>+'Tab-22 ProfitPlan'!C342</f>
        <v>105845.44615384613</v>
      </c>
      <c r="M342" s="219">
        <f t="shared" si="100"/>
        <v>316699.4461538461</v>
      </c>
      <c r="N342" s="217"/>
    </row>
    <row r="343" spans="1:14" s="59" customFormat="1" x14ac:dyDescent="0.2">
      <c r="A343" s="220"/>
      <c r="B343" s="221"/>
      <c r="C343" s="217"/>
      <c r="D343" s="217"/>
      <c r="E343" s="217"/>
      <c r="F343" s="217"/>
      <c r="G343" s="217"/>
      <c r="H343" s="217"/>
      <c r="I343" s="217"/>
      <c r="J343" s="217"/>
      <c r="K343" s="217"/>
      <c r="L343" s="217"/>
      <c r="M343" s="217"/>
      <c r="N343" s="217"/>
    </row>
    <row r="344" spans="1:14" ht="12" thickBot="1" x14ac:dyDescent="0.25">
      <c r="A344" s="228"/>
      <c r="B344" s="229" t="s">
        <v>233</v>
      </c>
      <c r="C344" s="230">
        <f t="shared" ref="C344:J344" si="112">C340-C342</f>
        <v>477501.33000000147</v>
      </c>
      <c r="D344" s="230">
        <f t="shared" si="112"/>
        <v>51253.67999999976</v>
      </c>
      <c r="E344" s="230">
        <f t="shared" si="112"/>
        <v>211082.40000000084</v>
      </c>
      <c r="F344" s="230">
        <f t="shared" si="112"/>
        <v>116704.69999999902</v>
      </c>
      <c r="G344" s="230">
        <f t="shared" si="112"/>
        <v>235794.10000000149</v>
      </c>
      <c r="H344" s="230">
        <f t="shared" si="112"/>
        <v>300841.9600000002</v>
      </c>
      <c r="I344" s="230">
        <f t="shared" si="112"/>
        <v>-464538.19999999972</v>
      </c>
      <c r="J344" s="230">
        <f t="shared" si="112"/>
        <v>-58455.009999999646</v>
      </c>
      <c r="K344" s="230">
        <f t="shared" ref="K344" si="113">K340-K342</f>
        <v>-407397.09999999963</v>
      </c>
      <c r="L344" s="230">
        <f>+'Tab-22 ProfitPlan'!C344</f>
        <v>188280</v>
      </c>
      <c r="M344" s="230">
        <f t="shared" si="100"/>
        <v>595677.09999999963</v>
      </c>
      <c r="N344" s="224"/>
    </row>
    <row r="345" spans="1:14" ht="12" thickTop="1" x14ac:dyDescent="0.2">
      <c r="A345" s="239"/>
      <c r="B345" s="204"/>
      <c r="C345" s="216"/>
      <c r="D345" s="216"/>
      <c r="E345" s="216"/>
      <c r="F345" s="216"/>
      <c r="G345" s="216"/>
      <c r="H345" s="216"/>
      <c r="I345" s="216"/>
      <c r="J345" s="216"/>
      <c r="K345" s="216"/>
      <c r="L345" s="216"/>
      <c r="M345" s="216"/>
      <c r="N345" s="217"/>
    </row>
    <row r="346" spans="1:14" ht="12" thickBot="1" x14ac:dyDescent="0.25">
      <c r="A346" s="865"/>
      <c r="B346" s="837" t="s">
        <v>232</v>
      </c>
      <c r="C346" s="842">
        <v>0</v>
      </c>
      <c r="D346" s="842">
        <v>1000</v>
      </c>
      <c r="E346" s="842">
        <v>875</v>
      </c>
      <c r="F346" s="842">
        <v>0</v>
      </c>
      <c r="G346" s="842">
        <v>0</v>
      </c>
      <c r="H346" s="842">
        <v>0</v>
      </c>
      <c r="I346" s="842">
        <v>0</v>
      </c>
      <c r="J346" s="842">
        <v>0</v>
      </c>
      <c r="K346" s="842">
        <v>0</v>
      </c>
      <c r="L346" s="219">
        <f>+'Tab-22 ProfitPlan'!C346</f>
        <v>0</v>
      </c>
      <c r="M346" s="219">
        <f t="shared" si="100"/>
        <v>0</v>
      </c>
      <c r="N346" s="217"/>
    </row>
    <row r="347" spans="1:14" x14ac:dyDescent="0.2">
      <c r="A347" s="220"/>
      <c r="B347" s="221"/>
      <c r="C347" s="216"/>
      <c r="D347" s="216"/>
      <c r="E347" s="216"/>
      <c r="F347" s="216"/>
      <c r="G347" s="216"/>
      <c r="H347" s="216"/>
      <c r="I347" s="216"/>
      <c r="J347" s="216"/>
      <c r="K347" s="216"/>
      <c r="L347" s="216"/>
      <c r="M347" s="216"/>
      <c r="N347" s="217"/>
    </row>
    <row r="348" spans="1:14" ht="12" thickBot="1" x14ac:dyDescent="0.25">
      <c r="A348" s="272"/>
      <c r="B348" s="229" t="s">
        <v>231</v>
      </c>
      <c r="C348" s="273">
        <f t="shared" ref="C348:J348" si="114">C344-C346</f>
        <v>477501.33000000147</v>
      </c>
      <c r="D348" s="273">
        <f t="shared" si="114"/>
        <v>50253.67999999976</v>
      </c>
      <c r="E348" s="273">
        <f t="shared" si="114"/>
        <v>210207.40000000084</v>
      </c>
      <c r="F348" s="273">
        <f t="shared" si="114"/>
        <v>116704.69999999902</v>
      </c>
      <c r="G348" s="273">
        <f t="shared" si="114"/>
        <v>235794.10000000149</v>
      </c>
      <c r="H348" s="273">
        <f t="shared" si="114"/>
        <v>300841.9600000002</v>
      </c>
      <c r="I348" s="273">
        <f t="shared" si="114"/>
        <v>-464538.19999999972</v>
      </c>
      <c r="J348" s="273">
        <f t="shared" si="114"/>
        <v>-58455.009999999646</v>
      </c>
      <c r="K348" s="273">
        <f t="shared" ref="K348" si="115">K344-K346</f>
        <v>-407397.09999999963</v>
      </c>
      <c r="L348" s="273">
        <f>+'Tab-22 ProfitPlan'!C348</f>
        <v>188280</v>
      </c>
      <c r="M348" s="273">
        <f t="shared" si="100"/>
        <v>595677.09999999963</v>
      </c>
      <c r="N348" s="217"/>
    </row>
    <row r="349" spans="1:14" ht="14.25" customHeight="1" thickTop="1" x14ac:dyDescent="0.2">
      <c r="A349" s="220"/>
      <c r="B349" s="221"/>
      <c r="C349" s="274"/>
      <c r="D349" s="274"/>
      <c r="E349" s="274"/>
      <c r="F349" s="274"/>
      <c r="G349" s="274"/>
      <c r="H349" s="274"/>
      <c r="I349" s="274"/>
      <c r="J349" s="274"/>
      <c r="K349" s="274"/>
      <c r="L349" s="274"/>
      <c r="M349" s="274"/>
      <c r="N349" s="274"/>
    </row>
    <row r="350" spans="1:14" ht="12" thickBot="1" x14ac:dyDescent="0.25">
      <c r="A350" s="275" t="s">
        <v>2</v>
      </c>
      <c r="C350" s="276">
        <f t="shared" ref="C350:F350" si="116">+C8</f>
        <v>2003</v>
      </c>
      <c r="D350" s="276">
        <f t="shared" si="116"/>
        <v>2004</v>
      </c>
      <c r="E350" s="276">
        <f t="shared" si="116"/>
        <v>2005</v>
      </c>
      <c r="F350" s="276">
        <f t="shared" si="116"/>
        <v>2006</v>
      </c>
      <c r="G350" s="276">
        <v>2007</v>
      </c>
      <c r="H350" s="276">
        <v>2008</v>
      </c>
      <c r="I350" s="276">
        <v>2009</v>
      </c>
      <c r="J350" s="276">
        <v>2009</v>
      </c>
      <c r="K350" s="276">
        <v>2009</v>
      </c>
      <c r="L350" s="276" t="str">
        <f>+L8</f>
        <v>Plan2012</v>
      </c>
      <c r="M350" s="277"/>
      <c r="N350" s="278"/>
    </row>
    <row r="351" spans="1:14" s="59" customFormat="1" ht="12" thickBot="1" x14ac:dyDescent="0.25">
      <c r="A351" s="279"/>
      <c r="B351" s="280" t="s">
        <v>3</v>
      </c>
      <c r="C351" s="838">
        <v>38999</v>
      </c>
      <c r="D351" s="838">
        <v>39498</v>
      </c>
      <c r="E351" s="838">
        <v>35024.44</v>
      </c>
      <c r="F351" s="838">
        <v>88601.57</v>
      </c>
      <c r="G351" s="838">
        <v>64110</v>
      </c>
      <c r="H351" s="838">
        <v>-78418.460000000006</v>
      </c>
      <c r="I351" s="838">
        <v>10225</v>
      </c>
      <c r="J351" s="838">
        <v>10225</v>
      </c>
      <c r="K351" s="866">
        <v>10225</v>
      </c>
      <c r="L351" s="866">
        <v>88601.57</v>
      </c>
      <c r="M351" s="281">
        <f t="shared" si="100"/>
        <v>78376.570000000007</v>
      </c>
      <c r="N351" s="282"/>
    </row>
    <row r="352" spans="1:14" ht="12" thickBot="1" x14ac:dyDescent="0.25">
      <c r="A352" s="279"/>
      <c r="B352" s="280" t="s">
        <v>4</v>
      </c>
      <c r="C352" s="283">
        <f t="shared" ref="C352:L352" si="117">SUM(C353:C358)</f>
        <v>1879894</v>
      </c>
      <c r="D352" s="283">
        <f t="shared" si="117"/>
        <v>2146748</v>
      </c>
      <c r="E352" s="283">
        <f t="shared" si="117"/>
        <v>1778267.5899999999</v>
      </c>
      <c r="F352" s="283">
        <f t="shared" si="117"/>
        <v>2374338.38</v>
      </c>
      <c r="G352" s="283">
        <f t="shared" si="117"/>
        <v>2210125</v>
      </c>
      <c r="H352" s="283">
        <f t="shared" si="117"/>
        <v>1648758</v>
      </c>
      <c r="I352" s="283">
        <f t="shared" si="117"/>
        <v>740105</v>
      </c>
      <c r="J352" s="283">
        <f t="shared" si="117"/>
        <v>740107</v>
      </c>
      <c r="K352" s="283">
        <f t="shared" si="117"/>
        <v>740107</v>
      </c>
      <c r="L352" s="283">
        <f t="shared" si="117"/>
        <v>2374338.38</v>
      </c>
      <c r="M352" s="283">
        <f t="shared" si="100"/>
        <v>1634231.38</v>
      </c>
      <c r="N352" s="284"/>
    </row>
    <row r="353" spans="1:14" x14ac:dyDescent="0.2">
      <c r="B353" s="194" t="s">
        <v>5</v>
      </c>
      <c r="C353" s="866">
        <v>675914</v>
      </c>
      <c r="D353" s="866">
        <v>1125626</v>
      </c>
      <c r="E353" s="866">
        <v>730877.95</v>
      </c>
      <c r="F353" s="866">
        <v>665344.98</v>
      </c>
      <c r="G353" s="866">
        <v>774486</v>
      </c>
      <c r="H353" s="866">
        <v>1010472</v>
      </c>
      <c r="I353" s="866">
        <v>678057</v>
      </c>
      <c r="J353" s="866">
        <v>678058</v>
      </c>
      <c r="K353" s="866">
        <v>678058</v>
      </c>
      <c r="L353" s="866">
        <v>665344.98</v>
      </c>
      <c r="M353" s="285">
        <f t="shared" si="100"/>
        <v>-12713.020000000019</v>
      </c>
      <c r="N353" s="282"/>
    </row>
    <row r="354" spans="1:14" x14ac:dyDescent="0.2">
      <c r="B354" s="194" t="s">
        <v>6</v>
      </c>
      <c r="C354" s="867"/>
      <c r="D354" s="867">
        <v>120938</v>
      </c>
      <c r="E354" s="867">
        <v>0</v>
      </c>
      <c r="F354" s="867">
        <v>0</v>
      </c>
      <c r="G354" s="867">
        <v>10</v>
      </c>
      <c r="H354" s="867">
        <v>53</v>
      </c>
      <c r="I354" s="867">
        <v>866</v>
      </c>
      <c r="J354" s="867">
        <v>867</v>
      </c>
      <c r="K354" s="867">
        <v>867</v>
      </c>
      <c r="L354" s="867">
        <v>0</v>
      </c>
      <c r="M354" s="218">
        <f t="shared" si="100"/>
        <v>-867</v>
      </c>
      <c r="N354" s="282"/>
    </row>
    <row r="355" spans="1:14" x14ac:dyDescent="0.2">
      <c r="B355" s="194" t="s">
        <v>7</v>
      </c>
      <c r="C355" s="866">
        <v>487537</v>
      </c>
      <c r="D355" s="866">
        <v>592901</v>
      </c>
      <c r="E355" s="866">
        <v>341718.77</v>
      </c>
      <c r="F355" s="866">
        <v>749054.34</v>
      </c>
      <c r="G355" s="866">
        <v>889150</v>
      </c>
      <c r="H355" s="866">
        <v>334718</v>
      </c>
      <c r="I355" s="866">
        <v>59782</v>
      </c>
      <c r="J355" s="866">
        <v>59782</v>
      </c>
      <c r="K355" s="866">
        <v>59782</v>
      </c>
      <c r="L355" s="866">
        <v>749054.34</v>
      </c>
      <c r="M355" s="285">
        <f t="shared" si="100"/>
        <v>689272.34</v>
      </c>
      <c r="N355" s="282"/>
    </row>
    <row r="356" spans="1:14" x14ac:dyDescent="0.2">
      <c r="A356" s="271"/>
      <c r="B356" s="833" t="s">
        <v>8</v>
      </c>
      <c r="C356" s="866">
        <v>123737</v>
      </c>
      <c r="D356" s="866">
        <v>98241</v>
      </c>
      <c r="E356" s="866">
        <v>19158.21</v>
      </c>
      <c r="F356" s="866">
        <v>348988.34</v>
      </c>
      <c r="G356" s="866">
        <v>187931</v>
      </c>
      <c r="H356" s="866">
        <v>108403</v>
      </c>
      <c r="I356" s="866">
        <v>0</v>
      </c>
      <c r="J356" s="866">
        <v>0</v>
      </c>
      <c r="K356" s="866">
        <v>0</v>
      </c>
      <c r="L356" s="866">
        <v>348988.34</v>
      </c>
      <c r="M356" s="282">
        <f t="shared" si="100"/>
        <v>348988.34</v>
      </c>
      <c r="N356" s="282"/>
    </row>
    <row r="357" spans="1:14" x14ac:dyDescent="0.2">
      <c r="A357" s="271"/>
      <c r="B357" s="194" t="s">
        <v>9</v>
      </c>
      <c r="C357" s="866">
        <v>50</v>
      </c>
      <c r="D357" s="866">
        <v>100</v>
      </c>
      <c r="E357" s="866">
        <v>180</v>
      </c>
      <c r="F357" s="866">
        <v>0</v>
      </c>
      <c r="G357" s="866">
        <v>420</v>
      </c>
      <c r="H357" s="866">
        <v>540</v>
      </c>
      <c r="I357" s="866">
        <v>0</v>
      </c>
      <c r="J357" s="866">
        <v>0</v>
      </c>
      <c r="K357" s="866">
        <v>0</v>
      </c>
      <c r="L357" s="866">
        <v>0</v>
      </c>
      <c r="M357" s="282">
        <f t="shared" si="100"/>
        <v>0</v>
      </c>
      <c r="N357" s="282"/>
    </row>
    <row r="358" spans="1:14" ht="12" thickBot="1" x14ac:dyDescent="0.25">
      <c r="A358" s="286"/>
      <c r="B358" s="287" t="s">
        <v>856</v>
      </c>
      <c r="C358" s="866">
        <v>592656</v>
      </c>
      <c r="D358" s="866">
        <v>208942</v>
      </c>
      <c r="E358" s="866">
        <f>582820.47+43668.09+11606.1+49019.65-781.65</f>
        <v>686332.65999999992</v>
      </c>
      <c r="F358" s="866">
        <f>566904.61+23056.99+20989.12</f>
        <v>610950.72</v>
      </c>
      <c r="G358" s="866">
        <v>358128</v>
      </c>
      <c r="H358" s="866">
        <f>96038+98534</f>
        <v>194572</v>
      </c>
      <c r="I358" s="866">
        <v>1400</v>
      </c>
      <c r="J358" s="866">
        <v>1400</v>
      </c>
      <c r="K358" s="866">
        <v>1400</v>
      </c>
      <c r="L358" s="866">
        <f>566904.61+23056.99+20989.12</f>
        <v>610950.72</v>
      </c>
      <c r="M358" s="288">
        <f t="shared" si="100"/>
        <v>609550.72</v>
      </c>
      <c r="N358" s="282"/>
    </row>
    <row r="359" spans="1:14" ht="12.75" thickTop="1" thickBot="1" x14ac:dyDescent="0.25">
      <c r="A359" s="289"/>
      <c r="B359" s="290" t="s">
        <v>855</v>
      </c>
      <c r="C359" s="291"/>
      <c r="D359" s="291"/>
      <c r="E359" s="291"/>
      <c r="F359" s="291"/>
      <c r="G359" s="291"/>
      <c r="H359" s="291"/>
      <c r="I359" s="291"/>
      <c r="J359" s="291"/>
      <c r="K359" s="291"/>
      <c r="L359" s="291"/>
      <c r="M359" s="291">
        <f t="shared" si="100"/>
        <v>0</v>
      </c>
      <c r="N359" s="292"/>
    </row>
    <row r="360" spans="1:14" ht="12" thickTop="1" x14ac:dyDescent="0.2">
      <c r="A360" s="271"/>
      <c r="C360" s="293"/>
      <c r="D360" s="293"/>
      <c r="E360" s="293"/>
      <c r="F360" s="293"/>
      <c r="G360" s="293"/>
      <c r="H360" s="293"/>
      <c r="I360" s="293"/>
      <c r="J360" s="293"/>
      <c r="K360" s="293"/>
      <c r="L360" s="293"/>
      <c r="M360" s="293"/>
      <c r="N360" s="274"/>
    </row>
    <row r="361" spans="1:14" s="59" customFormat="1" x14ac:dyDescent="0.2">
      <c r="C361" s="274"/>
      <c r="D361" s="274"/>
      <c r="E361" s="274"/>
      <c r="F361" s="274"/>
      <c r="G361" s="274"/>
      <c r="H361" s="274"/>
      <c r="I361" s="274"/>
      <c r="J361" s="274"/>
      <c r="K361" s="274"/>
      <c r="L361" s="274"/>
      <c r="M361" s="274"/>
      <c r="N361" s="274"/>
    </row>
    <row r="362" spans="1:14" s="59" customFormat="1" x14ac:dyDescent="0.2">
      <c r="A362" s="193" t="s">
        <v>854</v>
      </c>
      <c r="B362" s="194"/>
      <c r="C362" s="274"/>
      <c r="D362" s="274"/>
      <c r="E362" s="274"/>
      <c r="F362" s="274"/>
      <c r="G362" s="274"/>
      <c r="H362" s="274"/>
      <c r="I362" s="274"/>
      <c r="J362" s="274"/>
      <c r="K362" s="274"/>
      <c r="L362" s="274"/>
      <c r="M362" s="274"/>
      <c r="N362" s="274"/>
    </row>
    <row r="363" spans="1:14" s="35" customFormat="1" ht="12" thickBot="1" x14ac:dyDescent="0.25">
      <c r="A363" s="294"/>
      <c r="B363" s="275" t="str">
        <f>+'Tab-24 TimeAnalysis'!A5</f>
        <v>Time Analysis 2012</v>
      </c>
      <c r="C363" s="295"/>
      <c r="D363" s="295"/>
      <c r="E363" s="295"/>
      <c r="F363" s="295"/>
      <c r="G363" s="295"/>
      <c r="H363" s="295"/>
      <c r="I363" s="295"/>
      <c r="J363" s="295"/>
      <c r="K363" s="295"/>
      <c r="L363" s="295"/>
      <c r="M363" s="295"/>
      <c r="N363" s="274"/>
    </row>
    <row r="364" spans="1:14" s="35" customFormat="1" x14ac:dyDescent="0.2">
      <c r="A364" s="271"/>
      <c r="B364" s="194" t="str">
        <f>+'Tab-24 TimeAnalysis'!A6</f>
        <v>Technical direct</v>
      </c>
      <c r="C364" s="866">
        <v>47025</v>
      </c>
      <c r="D364" s="866">
        <v>47496</v>
      </c>
      <c r="E364" s="866">
        <v>49716</v>
      </c>
      <c r="F364" s="866">
        <v>48354</v>
      </c>
      <c r="G364" s="866">
        <v>59035</v>
      </c>
      <c r="H364" s="866">
        <v>56888</v>
      </c>
      <c r="I364" s="866">
        <v>34177</v>
      </c>
      <c r="J364" s="866">
        <v>27972</v>
      </c>
      <c r="K364" s="866">
        <v>22834</v>
      </c>
      <c r="L364" s="282">
        <f>+[0]!Tech_direct_hrs_total</f>
        <v>22568</v>
      </c>
      <c r="M364" s="282">
        <f t="shared" si="100"/>
        <v>-266</v>
      </c>
      <c r="N364" s="282"/>
    </row>
    <row r="365" spans="1:14" s="35" customFormat="1" x14ac:dyDescent="0.2">
      <c r="A365" s="271"/>
      <c r="B365" s="296" t="str">
        <f>+'Tab-24 TimeAnalysis'!A7</f>
        <v>Technical indirect</v>
      </c>
      <c r="C365" s="866">
        <v>12465</v>
      </c>
      <c r="D365" s="866">
        <v>15132</v>
      </c>
      <c r="E365" s="866">
        <f>+E367-E364-E366</f>
        <v>18864</v>
      </c>
      <c r="F365" s="866">
        <f>+F367-F364-F366</f>
        <v>19331</v>
      </c>
      <c r="G365" s="866">
        <v>17763</v>
      </c>
      <c r="H365" s="866">
        <v>24399</v>
      </c>
      <c r="I365" s="866">
        <v>18269</v>
      </c>
      <c r="J365" s="866">
        <f>+J367-J364-J366</f>
        <v>12664</v>
      </c>
      <c r="K365" s="866">
        <f>+K367-K364-K366</f>
        <v>8902</v>
      </c>
      <c r="L365" s="282">
        <f>+'Tab-24 TimeAnalysis'!$D$7</f>
        <v>5208</v>
      </c>
      <c r="M365" s="282">
        <f t="shared" si="100"/>
        <v>-3694</v>
      </c>
      <c r="N365" s="282"/>
    </row>
    <row r="366" spans="1:14" s="282" customFormat="1" ht="12" thickBot="1" x14ac:dyDescent="0.25">
      <c r="A366" s="211"/>
      <c r="B366" s="213" t="str">
        <f>+'Tab-24 TimeAnalysis'!A8</f>
        <v>Technical indirect PTO</v>
      </c>
      <c r="C366" s="868">
        <v>4773</v>
      </c>
      <c r="D366" s="868">
        <v>4064</v>
      </c>
      <c r="E366" s="868">
        <f>3857+36+2348</f>
        <v>6241</v>
      </c>
      <c r="F366" s="868">
        <v>5126</v>
      </c>
      <c r="G366" s="868">
        <v>4244</v>
      </c>
      <c r="H366" s="868">
        <v>7289</v>
      </c>
      <c r="I366" s="868">
        <v>-277</v>
      </c>
      <c r="J366" s="868">
        <f>2059+1504-1016</f>
        <v>2547</v>
      </c>
      <c r="K366" s="868">
        <f>+K372-K369</f>
        <v>2067</v>
      </c>
      <c r="L366" s="281">
        <f>+'Tab-24 TimeAnalysis'!$D$8</f>
        <v>2592</v>
      </c>
      <c r="M366" s="281">
        <f t="shared" si="100"/>
        <v>525</v>
      </c>
    </row>
    <row r="367" spans="1:14" s="282" customFormat="1" ht="12" thickBot="1" x14ac:dyDescent="0.25">
      <c r="A367" s="279"/>
      <c r="B367" s="280" t="str">
        <f>+'Tab-24 TimeAnalysis'!A9</f>
        <v>Total technical</v>
      </c>
      <c r="C367" s="283">
        <f t="shared" ref="C367:D367" si="118">C364+C365+C366</f>
        <v>64263</v>
      </c>
      <c r="D367" s="283">
        <f t="shared" si="118"/>
        <v>66692</v>
      </c>
      <c r="E367" s="283">
        <v>74821</v>
      </c>
      <c r="F367" s="283">
        <v>72811</v>
      </c>
      <c r="G367" s="283">
        <v>81042</v>
      </c>
      <c r="H367" s="283">
        <v>88576</v>
      </c>
      <c r="I367" s="283">
        <v>52169</v>
      </c>
      <c r="J367" s="283">
        <v>43183</v>
      </c>
      <c r="K367" s="283">
        <f>+K371-K370</f>
        <v>33803</v>
      </c>
      <c r="L367" s="283">
        <f>+'Tab-24 TimeAnalysis'!$D$9</f>
        <v>30368</v>
      </c>
      <c r="M367" s="283">
        <f t="shared" si="100"/>
        <v>-3435</v>
      </c>
      <c r="N367" s="284"/>
    </row>
    <row r="368" spans="1:14" s="282" customFormat="1" x14ac:dyDescent="0.2">
      <c r="A368" s="195"/>
      <c r="B368" s="194" t="str">
        <f>+'Tab-24 TimeAnalysis'!A10</f>
        <v>Non-technical indirect</v>
      </c>
      <c r="C368" s="866">
        <v>21000</v>
      </c>
      <c r="D368" s="866">
        <v>21889</v>
      </c>
      <c r="E368" s="866">
        <v>20849</v>
      </c>
      <c r="F368" s="866">
        <v>21192</v>
      </c>
      <c r="G368" s="866">
        <v>22199</v>
      </c>
      <c r="H368" s="866">
        <v>23211</v>
      </c>
      <c r="I368" s="866">
        <v>17069</v>
      </c>
      <c r="J368" s="866">
        <f>+J370-J369</f>
        <v>13439</v>
      </c>
      <c r="K368" s="866">
        <v>17069</v>
      </c>
      <c r="L368" s="282">
        <f>+'Tab-24 TimeAnalysis'!$D$10</f>
        <v>8112</v>
      </c>
      <c r="M368" s="282">
        <f t="shared" si="100"/>
        <v>-8957</v>
      </c>
    </row>
    <row r="369" spans="1:14" s="282" customFormat="1" ht="12" thickBot="1" x14ac:dyDescent="0.25">
      <c r="A369" s="211"/>
      <c r="B369" s="213" t="str">
        <f>+'Tab-24 TimeAnalysis'!A11</f>
        <v>Non-technical indirect PTO</v>
      </c>
      <c r="C369" s="868">
        <v>2598</v>
      </c>
      <c r="D369" s="868">
        <v>2384</v>
      </c>
      <c r="E369" s="868">
        <f>1060+500+744</f>
        <v>2304</v>
      </c>
      <c r="F369" s="868">
        <v>2308</v>
      </c>
      <c r="G369" s="868">
        <v>1955</v>
      </c>
      <c r="H369" s="868">
        <v>2398</v>
      </c>
      <c r="I369" s="868">
        <v>1255</v>
      </c>
      <c r="J369" s="868">
        <f>614+134+552</f>
        <v>1300</v>
      </c>
      <c r="K369" s="868">
        <f>307+128+280</f>
        <v>715</v>
      </c>
      <c r="L369" s="281">
        <f>+'Tab-24 TimeAnalysis'!$D$11</f>
        <v>576</v>
      </c>
      <c r="M369" s="281">
        <f t="shared" si="100"/>
        <v>-139</v>
      </c>
    </row>
    <row r="370" spans="1:14" s="282" customFormat="1" ht="12" thickBot="1" x14ac:dyDescent="0.25">
      <c r="A370" s="279"/>
      <c r="B370" s="280" t="str">
        <f>+'Tab-24 TimeAnalysis'!A12</f>
        <v>Total nontechnical</v>
      </c>
      <c r="C370" s="297">
        <f t="shared" ref="C370:D370" si="119">C368+C369</f>
        <v>23598</v>
      </c>
      <c r="D370" s="297">
        <f t="shared" si="119"/>
        <v>24273</v>
      </c>
      <c r="E370" s="297">
        <f>+E369+E368</f>
        <v>23153</v>
      </c>
      <c r="F370" s="297">
        <f>+F369+F368</f>
        <v>23500</v>
      </c>
      <c r="G370" s="297">
        <v>24154</v>
      </c>
      <c r="H370" s="297">
        <v>25609</v>
      </c>
      <c r="I370" s="297">
        <v>18324</v>
      </c>
      <c r="J370" s="297">
        <f>+J371-J367</f>
        <v>14739</v>
      </c>
      <c r="K370" s="297">
        <v>8064</v>
      </c>
      <c r="L370" s="297">
        <f>+'Tab-24 TimeAnalysis'!$D$12</f>
        <v>8688</v>
      </c>
      <c r="M370" s="297">
        <f t="shared" si="100"/>
        <v>624</v>
      </c>
      <c r="N370" s="298"/>
    </row>
    <row r="371" spans="1:14" s="301" customFormat="1" x14ac:dyDescent="0.2">
      <c r="A371" s="299"/>
      <c r="B371" s="300" t="str">
        <f>+'Tab-24 TimeAnalysis'!A13</f>
        <v>Total technical and nontechnical</v>
      </c>
      <c r="C371" s="301">
        <f t="shared" ref="C371:F371" si="120">+C367+C370</f>
        <v>87861</v>
      </c>
      <c r="D371" s="301">
        <f t="shared" si="120"/>
        <v>90965</v>
      </c>
      <c r="E371" s="301">
        <f t="shared" si="120"/>
        <v>97974</v>
      </c>
      <c r="F371" s="301">
        <f t="shared" si="120"/>
        <v>96311</v>
      </c>
      <c r="G371" s="301">
        <f>+G370+G367</f>
        <v>105196</v>
      </c>
      <c r="H371" s="301">
        <v>114185</v>
      </c>
      <c r="I371" s="301">
        <v>70493</v>
      </c>
      <c r="J371" s="301">
        <v>57922</v>
      </c>
      <c r="K371" s="301">
        <v>41867</v>
      </c>
      <c r="L371" s="301">
        <f>+'Tab-24 TimeAnalysis'!$D$13</f>
        <v>39056</v>
      </c>
      <c r="M371" s="301">
        <f t="shared" si="100"/>
        <v>-2811</v>
      </c>
    </row>
    <row r="372" spans="1:14" s="282" customFormat="1" ht="12" thickBot="1" x14ac:dyDescent="0.25">
      <c r="A372" s="211"/>
      <c r="B372" s="213" t="str">
        <f>+'Tab-24 TimeAnalysis'!A14</f>
        <v>Total technical and nontechnical PTO</v>
      </c>
      <c r="C372" s="281">
        <v>7371</v>
      </c>
      <c r="D372" s="281">
        <f>+D366+D369</f>
        <v>6448</v>
      </c>
      <c r="E372" s="281">
        <f>+E366+E369</f>
        <v>8545</v>
      </c>
      <c r="F372" s="281">
        <f>+F366+F369</f>
        <v>7434</v>
      </c>
      <c r="G372" s="281">
        <f>+G369+G366</f>
        <v>6199</v>
      </c>
      <c r="H372" s="281">
        <f>+H369+H366</f>
        <v>9687</v>
      </c>
      <c r="I372" s="281">
        <f>+I369+I366</f>
        <v>978</v>
      </c>
      <c r="J372" s="281">
        <f>2673+2056-883</f>
        <v>3846</v>
      </c>
      <c r="K372" s="281">
        <f>1648+1400-266</f>
        <v>2782</v>
      </c>
      <c r="L372" s="281">
        <f>+'Tab-24 TimeAnalysis'!$D$14</f>
        <v>3168</v>
      </c>
      <c r="M372" s="281">
        <f t="shared" si="100"/>
        <v>386</v>
      </c>
    </row>
    <row r="373" spans="1:14" s="282" customFormat="1" ht="12" thickBot="1" x14ac:dyDescent="0.25">
      <c r="A373" s="302"/>
      <c r="B373" s="303" t="str">
        <f>+'Tab-24 TimeAnalysis'!A15</f>
        <v>Total less PTO</v>
      </c>
      <c r="C373" s="288">
        <f t="shared" ref="C373:L373" si="121">+C371-C372</f>
        <v>80490</v>
      </c>
      <c r="D373" s="288">
        <f t="shared" si="121"/>
        <v>84517</v>
      </c>
      <c r="E373" s="288">
        <f t="shared" si="121"/>
        <v>89429</v>
      </c>
      <c r="F373" s="288">
        <f t="shared" si="121"/>
        <v>88877</v>
      </c>
      <c r="G373" s="288">
        <f t="shared" si="121"/>
        <v>98997</v>
      </c>
      <c r="H373" s="288">
        <f t="shared" si="121"/>
        <v>104498</v>
      </c>
      <c r="I373" s="288">
        <f t="shared" si="121"/>
        <v>69515</v>
      </c>
      <c r="J373" s="288">
        <f t="shared" si="121"/>
        <v>54076</v>
      </c>
      <c r="K373" s="288">
        <f t="shared" si="121"/>
        <v>39085</v>
      </c>
      <c r="L373" s="288">
        <f t="shared" si="121"/>
        <v>35888</v>
      </c>
      <c r="M373" s="288">
        <f t="shared" si="100"/>
        <v>-3197</v>
      </c>
    </row>
    <row r="374" spans="1:14" s="282" customFormat="1" ht="12" thickTop="1" x14ac:dyDescent="0.2">
      <c r="A374" s="195"/>
      <c r="B374" s="194"/>
    </row>
    <row r="375" spans="1:14" s="282" customFormat="1" ht="12" thickBot="1" x14ac:dyDescent="0.25">
      <c r="A375" s="228"/>
      <c r="B375" s="287" t="str">
        <f>+'Tab-24 TimeAnalysis'!A17</f>
        <v>Standard hours</v>
      </c>
      <c r="C375" s="869">
        <v>2088</v>
      </c>
      <c r="D375" s="869">
        <v>2080</v>
      </c>
      <c r="E375" s="869">
        <v>2088</v>
      </c>
      <c r="F375" s="869">
        <v>2088</v>
      </c>
      <c r="G375" s="869">
        <v>2088</v>
      </c>
      <c r="H375" s="869">
        <v>2096</v>
      </c>
      <c r="I375" s="869">
        <v>2080</v>
      </c>
      <c r="J375" s="869">
        <v>2080</v>
      </c>
      <c r="K375" s="869">
        <v>2080</v>
      </c>
      <c r="L375" s="869">
        <v>2080</v>
      </c>
      <c r="M375" s="288">
        <f t="shared" si="100"/>
        <v>0</v>
      </c>
    </row>
    <row r="376" spans="1:14" s="282" customFormat="1" ht="12" thickTop="1" x14ac:dyDescent="0.2">
      <c r="A376" s="195"/>
      <c r="B376" s="194"/>
      <c r="C376" s="274"/>
      <c r="D376" s="274"/>
      <c r="E376" s="274"/>
      <c r="F376" s="274"/>
      <c r="G376" s="274"/>
      <c r="H376" s="274"/>
      <c r="I376" s="274"/>
      <c r="J376" s="274"/>
      <c r="K376" s="274"/>
      <c r="L376" s="274"/>
      <c r="M376" s="274"/>
      <c r="N376" s="274"/>
    </row>
    <row r="377" spans="1:14" s="282" customFormat="1" x14ac:dyDescent="0.2">
      <c r="A377" s="195"/>
      <c r="B377" s="194"/>
      <c r="C377" s="274"/>
      <c r="D377" s="274"/>
      <c r="E377" s="274"/>
      <c r="F377" s="274"/>
      <c r="G377" s="274"/>
      <c r="H377" s="274"/>
      <c r="I377" s="274"/>
      <c r="J377" s="274"/>
      <c r="K377" s="274"/>
      <c r="L377" s="274"/>
      <c r="M377" s="274"/>
      <c r="N377" s="274"/>
    </row>
    <row r="378" spans="1:14" s="282" customFormat="1" ht="12" thickBot="1" x14ac:dyDescent="0.25">
      <c r="A378" s="211"/>
      <c r="B378" s="275" t="s">
        <v>10</v>
      </c>
      <c r="C378" s="304"/>
      <c r="D378" s="304"/>
      <c r="E378" s="304"/>
      <c r="F378" s="304"/>
      <c r="G378" s="304"/>
      <c r="H378" s="304"/>
      <c r="I378" s="304"/>
      <c r="J378" s="304"/>
      <c r="K378" s="304"/>
      <c r="L378" s="304"/>
      <c r="M378" s="304"/>
      <c r="N378" s="305"/>
    </row>
    <row r="379" spans="1:14" s="282" customFormat="1" x14ac:dyDescent="0.2">
      <c r="A379" s="195"/>
      <c r="B379" s="194" t="s">
        <v>11</v>
      </c>
      <c r="C379" s="870">
        <v>133</v>
      </c>
      <c r="D379" s="870">
        <v>1093.5</v>
      </c>
      <c r="E379" s="870">
        <v>-32.5</v>
      </c>
      <c r="F379" s="870">
        <v>558</v>
      </c>
      <c r="G379" s="870">
        <v>1972</v>
      </c>
      <c r="H379" s="870">
        <v>572.5</v>
      </c>
      <c r="I379" s="870">
        <v>3033.5</v>
      </c>
      <c r="J379" s="870">
        <v>3033.5</v>
      </c>
      <c r="K379" s="870">
        <v>3033.5</v>
      </c>
      <c r="L379" s="871">
        <v>0</v>
      </c>
      <c r="M379" s="292">
        <f t="shared" si="100"/>
        <v>-3033.5</v>
      </c>
      <c r="N379" s="292"/>
    </row>
    <row r="380" spans="1:14" s="282" customFormat="1" ht="12" thickBot="1" x14ac:dyDescent="0.25">
      <c r="A380" s="211"/>
      <c r="B380" s="213" t="s">
        <v>853</v>
      </c>
      <c r="C380" s="872">
        <v>-945</v>
      </c>
      <c r="D380" s="872">
        <v>-683.5</v>
      </c>
      <c r="E380" s="872">
        <v>-503</v>
      </c>
      <c r="F380" s="872">
        <v>-505</v>
      </c>
      <c r="G380" s="872">
        <v>-144.5</v>
      </c>
      <c r="H380" s="872">
        <v>-203</v>
      </c>
      <c r="I380" s="872">
        <v>-6</v>
      </c>
      <c r="J380" s="872">
        <v>-6</v>
      </c>
      <c r="K380" s="872">
        <v>-6</v>
      </c>
      <c r="L380" s="873">
        <v>0</v>
      </c>
      <c r="M380" s="306">
        <f t="shared" si="100"/>
        <v>6</v>
      </c>
      <c r="N380" s="292"/>
    </row>
    <row r="381" spans="1:14" s="307" customFormat="1" ht="12" thickBot="1" x14ac:dyDescent="0.25">
      <c r="A381" s="302"/>
      <c r="B381" s="303" t="s">
        <v>12</v>
      </c>
      <c r="C381" s="291">
        <f t="shared" ref="C381:L381" si="122">SUM(C379:C380)</f>
        <v>-812</v>
      </c>
      <c r="D381" s="291">
        <f t="shared" si="122"/>
        <v>410</v>
      </c>
      <c r="E381" s="291">
        <f t="shared" si="122"/>
        <v>-535.5</v>
      </c>
      <c r="F381" s="291">
        <f t="shared" si="122"/>
        <v>53</v>
      </c>
      <c r="G381" s="291">
        <f t="shared" si="122"/>
        <v>1827.5</v>
      </c>
      <c r="H381" s="291">
        <f t="shared" si="122"/>
        <v>369.5</v>
      </c>
      <c r="I381" s="291">
        <f t="shared" si="122"/>
        <v>3027.5</v>
      </c>
      <c r="J381" s="291">
        <f t="shared" si="122"/>
        <v>3027.5</v>
      </c>
      <c r="K381" s="291">
        <f t="shared" si="122"/>
        <v>3027.5</v>
      </c>
      <c r="L381" s="291">
        <f t="shared" si="122"/>
        <v>0</v>
      </c>
      <c r="M381" s="291">
        <f t="shared" si="100"/>
        <v>-3027.5</v>
      </c>
      <c r="N381" s="292"/>
    </row>
    <row r="382" spans="1:14" s="35" customFormat="1" ht="12" thickTop="1" x14ac:dyDescent="0.2">
      <c r="A382" s="195"/>
      <c r="B382" s="194"/>
      <c r="C382" s="274"/>
      <c r="D382" s="274"/>
      <c r="E382" s="274"/>
      <c r="F382" s="274"/>
      <c r="G382" s="274"/>
      <c r="H382" s="274"/>
      <c r="I382" s="274"/>
      <c r="J382" s="274"/>
      <c r="K382" s="274"/>
      <c r="L382" s="274"/>
      <c r="M382" s="274"/>
      <c r="N382" s="274"/>
    </row>
    <row r="383" spans="1:14" s="35" customFormat="1" x14ac:dyDescent="0.2">
      <c r="A383" s="195"/>
      <c r="B383" s="194"/>
      <c r="C383" s="274"/>
      <c r="D383" s="274"/>
      <c r="E383" s="274"/>
      <c r="F383" s="274"/>
      <c r="G383" s="274"/>
      <c r="H383" s="274"/>
      <c r="I383" s="274"/>
      <c r="J383" s="274"/>
      <c r="K383" s="274"/>
      <c r="L383" s="274"/>
      <c r="M383" s="274"/>
      <c r="N383" s="274"/>
    </row>
    <row r="384" spans="1:14" s="35" customFormat="1" ht="12" thickBot="1" x14ac:dyDescent="0.25">
      <c r="A384" s="211"/>
      <c r="B384" s="275" t="s">
        <v>13</v>
      </c>
      <c r="C384" s="295"/>
      <c r="D384" s="295"/>
      <c r="E384" s="295"/>
      <c r="F384" s="295"/>
      <c r="G384" s="295"/>
      <c r="H384" s="295"/>
      <c r="I384" s="295"/>
      <c r="J384" s="295"/>
      <c r="K384" s="295"/>
      <c r="L384" s="295"/>
      <c r="M384" s="295"/>
      <c r="N384" s="274"/>
    </row>
    <row r="385" spans="1:14" s="35" customFormat="1" x14ac:dyDescent="0.2">
      <c r="A385" s="195"/>
      <c r="B385" s="194" t="s">
        <v>11</v>
      </c>
      <c r="C385" s="308">
        <f t="shared" ref="C385:L385" si="123">C379/(C367-C379)</f>
        <v>2.0739123655075628E-3</v>
      </c>
      <c r="D385" s="308">
        <f t="shared" si="123"/>
        <v>1.6669588481443936E-2</v>
      </c>
      <c r="E385" s="308">
        <f t="shared" si="123"/>
        <v>-4.3418143440186497E-4</v>
      </c>
      <c r="F385" s="308">
        <f t="shared" si="123"/>
        <v>7.7228627185030379E-3</v>
      </c>
      <c r="G385" s="308">
        <f t="shared" si="123"/>
        <v>2.4939926647274568E-2</v>
      </c>
      <c r="H385" s="308">
        <f t="shared" si="123"/>
        <v>6.5054230797638732E-3</v>
      </c>
      <c r="I385" s="308">
        <f t="shared" si="123"/>
        <v>6.1737440343539805E-2</v>
      </c>
      <c r="J385" s="308">
        <f t="shared" si="123"/>
        <v>7.5555112766036936E-2</v>
      </c>
      <c r="K385" s="308">
        <f t="shared" si="123"/>
        <v>9.8587887355985629E-2</v>
      </c>
      <c r="L385" s="308">
        <f t="shared" si="123"/>
        <v>0</v>
      </c>
      <c r="M385" s="308">
        <f t="shared" si="100"/>
        <v>-9.8587887355985629E-2</v>
      </c>
      <c r="N385" s="308"/>
    </row>
    <row r="386" spans="1:14" s="35" customFormat="1" ht="12" thickBot="1" x14ac:dyDescent="0.25">
      <c r="A386" s="211"/>
      <c r="B386" s="213" t="s">
        <v>14</v>
      </c>
      <c r="C386" s="309">
        <f t="shared" ref="C386:L386" si="124">C380/(C370-C380)</f>
        <v>-3.8503850385038507E-2</v>
      </c>
      <c r="D386" s="309">
        <f t="shared" si="124"/>
        <v>-2.7387654518862822E-2</v>
      </c>
      <c r="E386" s="309">
        <f t="shared" si="124"/>
        <v>-2.1263104497801825E-2</v>
      </c>
      <c r="F386" s="309">
        <f t="shared" si="124"/>
        <v>-2.1037283899187669E-2</v>
      </c>
      <c r="G386" s="309">
        <f t="shared" si="124"/>
        <v>-5.9468691483013352E-3</v>
      </c>
      <c r="H386" s="309">
        <f t="shared" si="124"/>
        <v>-7.8645591197892446E-3</v>
      </c>
      <c r="I386" s="309">
        <f t="shared" si="124"/>
        <v>-3.2733224222585927E-4</v>
      </c>
      <c r="J386" s="309">
        <f t="shared" si="124"/>
        <v>-4.0691759918616479E-4</v>
      </c>
      <c r="K386" s="309">
        <f t="shared" si="124"/>
        <v>-7.4349442379182155E-4</v>
      </c>
      <c r="L386" s="309">
        <f t="shared" si="124"/>
        <v>0</v>
      </c>
      <c r="M386" s="309">
        <f t="shared" si="100"/>
        <v>7.4349442379182155E-4</v>
      </c>
      <c r="N386" s="308"/>
    </row>
    <row r="387" spans="1:14" s="35" customFormat="1" ht="12" thickBot="1" x14ac:dyDescent="0.25">
      <c r="A387" s="228"/>
      <c r="B387" s="287" t="s">
        <v>15</v>
      </c>
      <c r="C387" s="310">
        <f t="shared" ref="C387:L387" si="125">C381/(C371-C381)</f>
        <v>-9.1572406482243757E-3</v>
      </c>
      <c r="D387" s="310">
        <f t="shared" si="125"/>
        <v>4.5276351388658827E-3</v>
      </c>
      <c r="E387" s="310">
        <f t="shared" si="125"/>
        <v>-5.436023936777671E-3</v>
      </c>
      <c r="F387" s="310">
        <f t="shared" si="125"/>
        <v>5.5060358619543311E-4</v>
      </c>
      <c r="G387" s="310">
        <f t="shared" si="125"/>
        <v>1.7679467149083136E-2</v>
      </c>
      <c r="H387" s="310">
        <f t="shared" si="125"/>
        <v>3.24648224538837E-3</v>
      </c>
      <c r="I387" s="310">
        <f t="shared" si="125"/>
        <v>4.4874787854533055E-2</v>
      </c>
      <c r="J387" s="310">
        <f t="shared" si="125"/>
        <v>5.5151244660211859E-2</v>
      </c>
      <c r="K387" s="310">
        <f t="shared" si="125"/>
        <v>7.7948995223934392E-2</v>
      </c>
      <c r="L387" s="310">
        <f t="shared" si="125"/>
        <v>0</v>
      </c>
      <c r="M387" s="310">
        <f t="shared" si="100"/>
        <v>-7.7948995223934392E-2</v>
      </c>
      <c r="N387" s="308"/>
    </row>
    <row r="388" spans="1:14" s="35" customFormat="1" ht="12" thickTop="1" x14ac:dyDescent="0.2">
      <c r="A388" s="195"/>
      <c r="B388" s="194"/>
      <c r="C388" s="274"/>
      <c r="D388" s="274"/>
      <c r="E388" s="274"/>
      <c r="F388" s="274"/>
      <c r="G388" s="274"/>
      <c r="H388" s="274"/>
      <c r="I388" s="274"/>
      <c r="J388" s="274"/>
      <c r="K388" s="274"/>
      <c r="L388" s="274"/>
      <c r="M388" s="274"/>
      <c r="N388" s="274"/>
    </row>
    <row r="389" spans="1:14" s="35" customFormat="1" x14ac:dyDescent="0.2">
      <c r="A389" s="195"/>
      <c r="B389" s="194"/>
      <c r="C389" s="274"/>
      <c r="D389" s="274"/>
      <c r="E389" s="274"/>
      <c r="F389" s="274"/>
      <c r="G389" s="274"/>
      <c r="H389" s="274"/>
      <c r="I389" s="274"/>
      <c r="J389" s="274"/>
      <c r="K389" s="274"/>
      <c r="L389" s="274"/>
      <c r="M389" s="274"/>
      <c r="N389" s="274"/>
    </row>
    <row r="390" spans="1:14" s="35" customFormat="1" ht="12" thickBot="1" x14ac:dyDescent="0.25">
      <c r="A390" s="211"/>
      <c r="B390" s="275" t="s">
        <v>16</v>
      </c>
      <c r="C390" s="295"/>
      <c r="D390" s="295"/>
      <c r="E390" s="295"/>
      <c r="F390" s="295"/>
      <c r="G390" s="295"/>
      <c r="H390" s="295"/>
      <c r="I390" s="295"/>
      <c r="J390" s="295"/>
      <c r="K390" s="295"/>
      <c r="L390" s="295"/>
      <c r="M390" s="295"/>
      <c r="N390" s="274"/>
    </row>
    <row r="391" spans="1:14" s="312" customFormat="1" x14ac:dyDescent="0.2">
      <c r="A391" s="195"/>
      <c r="B391" s="194" t="s">
        <v>852</v>
      </c>
      <c r="C391" s="311">
        <f t="shared" ref="C391:K391" si="126">C393-C392</f>
        <v>30.713601532567051</v>
      </c>
      <c r="D391" s="311">
        <f t="shared" si="126"/>
        <v>31.537740384615386</v>
      </c>
      <c r="E391" s="311">
        <f t="shared" si="126"/>
        <v>35.849377394636015</v>
      </c>
      <c r="F391" s="311">
        <f t="shared" si="126"/>
        <v>34.60392720306514</v>
      </c>
      <c r="G391" s="311">
        <f t="shared" si="126"/>
        <v>37.868773946360157</v>
      </c>
      <c r="H391" s="311">
        <f t="shared" si="126"/>
        <v>41.986402671755727</v>
      </c>
      <c r="I391" s="311">
        <f t="shared" si="126"/>
        <v>23.622836538461538</v>
      </c>
      <c r="J391" s="311">
        <f t="shared" si="126"/>
        <v>19.302644230769229</v>
      </c>
      <c r="K391" s="311">
        <f t="shared" si="126"/>
        <v>14.793028846153847</v>
      </c>
      <c r="L391" s="311">
        <f>+[0]!FTE_Total_Technical</f>
        <v>14.488549618320612</v>
      </c>
      <c r="M391" s="311">
        <f t="shared" si="100"/>
        <v>-0.30447922783323556</v>
      </c>
      <c r="N391" s="311"/>
    </row>
    <row r="392" spans="1:14" s="312" customFormat="1" ht="12" thickBot="1" x14ac:dyDescent="0.25">
      <c r="A392" s="211"/>
      <c r="B392" s="213" t="s">
        <v>851</v>
      </c>
      <c r="C392" s="313">
        <f t="shared" ref="C392:L392" si="127">C379/C375</f>
        <v>6.3697318007662831E-2</v>
      </c>
      <c r="D392" s="313">
        <f t="shared" si="127"/>
        <v>0.52572115384615381</v>
      </c>
      <c r="E392" s="313">
        <f t="shared" si="127"/>
        <v>-1.5565134099616858E-2</v>
      </c>
      <c r="F392" s="313">
        <f t="shared" si="127"/>
        <v>0.26724137931034481</v>
      </c>
      <c r="G392" s="313">
        <f t="shared" si="127"/>
        <v>0.94444444444444442</v>
      </c>
      <c r="H392" s="313">
        <f t="shared" si="127"/>
        <v>0.27313931297709926</v>
      </c>
      <c r="I392" s="313">
        <f t="shared" si="127"/>
        <v>1.4584134615384616</v>
      </c>
      <c r="J392" s="313">
        <f t="shared" si="127"/>
        <v>1.4584134615384616</v>
      </c>
      <c r="K392" s="313">
        <f t="shared" si="127"/>
        <v>1.4584134615384616</v>
      </c>
      <c r="L392" s="313">
        <f t="shared" si="127"/>
        <v>0</v>
      </c>
      <c r="M392" s="313">
        <f t="shared" si="100"/>
        <v>-1.4584134615384616</v>
      </c>
      <c r="N392" s="311"/>
    </row>
    <row r="393" spans="1:14" s="312" customFormat="1" ht="12" thickBot="1" x14ac:dyDescent="0.25">
      <c r="A393" s="211"/>
      <c r="B393" s="213" t="s">
        <v>17</v>
      </c>
      <c r="C393" s="314">
        <f t="shared" ref="C393:K393" si="128">C367/C375</f>
        <v>30.777298850574713</v>
      </c>
      <c r="D393" s="314">
        <f t="shared" si="128"/>
        <v>32.063461538461539</v>
      </c>
      <c r="E393" s="314">
        <f t="shared" si="128"/>
        <v>35.833812260536398</v>
      </c>
      <c r="F393" s="314">
        <f t="shared" si="128"/>
        <v>34.871168582375482</v>
      </c>
      <c r="G393" s="314">
        <f t="shared" si="128"/>
        <v>38.8132183908046</v>
      </c>
      <c r="H393" s="314">
        <f t="shared" si="128"/>
        <v>42.259541984732827</v>
      </c>
      <c r="I393" s="314">
        <f t="shared" si="128"/>
        <v>25.081250000000001</v>
      </c>
      <c r="J393" s="314">
        <f t="shared" si="128"/>
        <v>20.761057692307691</v>
      </c>
      <c r="K393" s="314">
        <f t="shared" si="128"/>
        <v>16.251442307692308</v>
      </c>
      <c r="L393" s="314">
        <f>+L392+L391</f>
        <v>14.488549618320612</v>
      </c>
      <c r="M393" s="314">
        <f t="shared" si="100"/>
        <v>-1.7628926893716965</v>
      </c>
      <c r="N393" s="315"/>
    </row>
    <row r="394" spans="1:14" s="312" customFormat="1" x14ac:dyDescent="0.2">
      <c r="A394" s="195"/>
      <c r="B394" s="194" t="s">
        <v>850</v>
      </c>
      <c r="C394" s="315">
        <f t="shared" ref="C394:K394" si="129">C396-C395</f>
        <v>11.754310344827585</v>
      </c>
      <c r="D394" s="315">
        <f t="shared" si="129"/>
        <v>11.998317307692307</v>
      </c>
      <c r="E394" s="315">
        <f t="shared" si="129"/>
        <v>11.329501915708812</v>
      </c>
      <c r="F394" s="315">
        <f t="shared" si="129"/>
        <v>11.496647509578544</v>
      </c>
      <c r="G394" s="315">
        <f t="shared" si="129"/>
        <v>11.637212643678161</v>
      </c>
      <c r="H394" s="315">
        <f t="shared" si="129"/>
        <v>12.314885496183205</v>
      </c>
      <c r="I394" s="315">
        <f t="shared" si="129"/>
        <v>8.8125</v>
      </c>
      <c r="J394" s="315">
        <f t="shared" si="129"/>
        <v>7.0889423076923075</v>
      </c>
      <c r="K394" s="315">
        <f t="shared" si="129"/>
        <v>3.8798076923076925</v>
      </c>
      <c r="L394" s="315">
        <f>+'Tab-24 TimeAnalysis'!$F$12</f>
        <v>4.1450381679389317</v>
      </c>
      <c r="M394" s="315">
        <f t="shared" si="100"/>
        <v>0.26523047563123914</v>
      </c>
      <c r="N394" s="315"/>
    </row>
    <row r="395" spans="1:14" s="312" customFormat="1" ht="12" thickBot="1" x14ac:dyDescent="0.25">
      <c r="A395" s="211"/>
      <c r="B395" s="213" t="s">
        <v>849</v>
      </c>
      <c r="C395" s="314">
        <f t="shared" ref="C395:K395" si="130">C380/C375</f>
        <v>-0.45258620689655171</v>
      </c>
      <c r="D395" s="314">
        <f t="shared" si="130"/>
        <v>-0.32860576923076923</v>
      </c>
      <c r="E395" s="314">
        <f t="shared" si="130"/>
        <v>-0.24090038314176246</v>
      </c>
      <c r="F395" s="314">
        <f t="shared" si="130"/>
        <v>-0.24185823754789271</v>
      </c>
      <c r="G395" s="314">
        <f t="shared" si="130"/>
        <v>-6.9204980842911878E-2</v>
      </c>
      <c r="H395" s="314">
        <f t="shared" si="130"/>
        <v>-9.6851145038167941E-2</v>
      </c>
      <c r="I395" s="314">
        <f t="shared" si="130"/>
        <v>-2.8846153846153848E-3</v>
      </c>
      <c r="J395" s="314">
        <f t="shared" si="130"/>
        <v>-2.8846153846153848E-3</v>
      </c>
      <c r="K395" s="314">
        <f t="shared" si="130"/>
        <v>-2.8846153846153848E-3</v>
      </c>
      <c r="L395" s="314">
        <f>+L386</f>
        <v>0</v>
      </c>
      <c r="M395" s="314">
        <f t="shared" ref="M395:M458" si="131">+L395-K395</f>
        <v>2.8846153846153848E-3</v>
      </c>
      <c r="N395" s="315"/>
    </row>
    <row r="396" spans="1:14" s="312" customFormat="1" ht="12" thickBot="1" x14ac:dyDescent="0.25">
      <c r="A396" s="279"/>
      <c r="B396" s="280" t="s">
        <v>18</v>
      </c>
      <c r="C396" s="314">
        <f t="shared" ref="C396:K396" si="132">C370/C375</f>
        <v>11.301724137931034</v>
      </c>
      <c r="D396" s="314">
        <f t="shared" si="132"/>
        <v>11.669711538461538</v>
      </c>
      <c r="E396" s="314">
        <f t="shared" si="132"/>
        <v>11.088601532567051</v>
      </c>
      <c r="F396" s="314">
        <f t="shared" si="132"/>
        <v>11.254789272030651</v>
      </c>
      <c r="G396" s="314">
        <f t="shared" si="132"/>
        <v>11.56800766283525</v>
      </c>
      <c r="H396" s="314">
        <f t="shared" si="132"/>
        <v>12.218034351145038</v>
      </c>
      <c r="I396" s="314">
        <f t="shared" si="132"/>
        <v>8.809615384615384</v>
      </c>
      <c r="J396" s="314">
        <f t="shared" si="132"/>
        <v>7.0860576923076923</v>
      </c>
      <c r="K396" s="314">
        <f t="shared" si="132"/>
        <v>3.8769230769230769</v>
      </c>
      <c r="L396" s="314">
        <f>+L395+L394</f>
        <v>4.1450381679389317</v>
      </c>
      <c r="M396" s="314">
        <f t="shared" si="131"/>
        <v>0.26811509101585473</v>
      </c>
      <c r="N396" s="315"/>
    </row>
    <row r="397" spans="1:14" s="312" customFormat="1" ht="12" thickBot="1" x14ac:dyDescent="0.25">
      <c r="A397" s="302"/>
      <c r="B397" s="303" t="s">
        <v>19</v>
      </c>
      <c r="C397" s="316">
        <f t="shared" ref="C397:K397" si="133">+C393+C396</f>
        <v>42.079022988505749</v>
      </c>
      <c r="D397" s="316">
        <f t="shared" si="133"/>
        <v>43.73317307692308</v>
      </c>
      <c r="E397" s="316">
        <f t="shared" si="133"/>
        <v>46.922413793103445</v>
      </c>
      <c r="F397" s="316">
        <f t="shared" si="133"/>
        <v>46.125957854406131</v>
      </c>
      <c r="G397" s="316">
        <f t="shared" si="133"/>
        <v>50.38122605363985</v>
      </c>
      <c r="H397" s="316">
        <f t="shared" si="133"/>
        <v>54.477576335877863</v>
      </c>
      <c r="I397" s="316">
        <f t="shared" si="133"/>
        <v>33.890865384615381</v>
      </c>
      <c r="J397" s="316">
        <f t="shared" si="133"/>
        <v>27.847115384615385</v>
      </c>
      <c r="K397" s="316">
        <f t="shared" si="133"/>
        <v>20.128365384615385</v>
      </c>
      <c r="L397" s="316">
        <f>+L396+L393</f>
        <v>18.633587786259543</v>
      </c>
      <c r="M397" s="316">
        <f t="shared" si="131"/>
        <v>-1.4947775983558422</v>
      </c>
      <c r="N397" s="311"/>
    </row>
    <row r="398" spans="1:14" s="312" customFormat="1" ht="12" thickTop="1" x14ac:dyDescent="0.2">
      <c r="A398" s="195"/>
      <c r="B398" s="194"/>
      <c r="C398" s="274"/>
      <c r="D398" s="274"/>
      <c r="E398" s="274"/>
      <c r="F398" s="274"/>
      <c r="G398" s="274"/>
      <c r="H398" s="274"/>
      <c r="I398" s="274"/>
      <c r="J398" s="274"/>
      <c r="K398" s="274"/>
      <c r="L398" s="274"/>
      <c r="M398" s="274"/>
      <c r="N398" s="274"/>
    </row>
    <row r="399" spans="1:14" s="312" customFormat="1" x14ac:dyDescent="0.2">
      <c r="A399" s="195"/>
      <c r="B399" s="194"/>
      <c r="C399" s="274"/>
      <c r="D399" s="274"/>
      <c r="E399" s="274"/>
      <c r="F399" s="274"/>
      <c r="G399" s="274"/>
      <c r="H399" s="274"/>
      <c r="I399" s="274"/>
      <c r="J399" s="274"/>
      <c r="K399" s="274"/>
      <c r="L399" s="274"/>
      <c r="M399" s="274"/>
      <c r="N399" s="274"/>
    </row>
    <row r="400" spans="1:14" s="312" customFormat="1" ht="12" thickBot="1" x14ac:dyDescent="0.25">
      <c r="A400" s="211"/>
      <c r="B400" s="275" t="s">
        <v>20</v>
      </c>
      <c r="C400" s="295"/>
      <c r="D400" s="295"/>
      <c r="E400" s="295"/>
      <c r="F400" s="295"/>
      <c r="G400" s="295"/>
      <c r="H400" s="295"/>
      <c r="I400" s="295"/>
      <c r="J400" s="295"/>
      <c r="K400" s="295"/>
      <c r="L400" s="295"/>
      <c r="M400" s="295"/>
      <c r="N400" s="274"/>
    </row>
    <row r="401" spans="1:14" s="35" customFormat="1" x14ac:dyDescent="0.2">
      <c r="A401" s="195"/>
      <c r="B401" s="194" t="s">
        <v>21</v>
      </c>
      <c r="C401" s="317">
        <f t="shared" ref="C401:L401" si="134">C391+C394</f>
        <v>42.467911877394634</v>
      </c>
      <c r="D401" s="317">
        <f t="shared" si="134"/>
        <v>43.536057692307693</v>
      </c>
      <c r="E401" s="317">
        <f t="shared" si="134"/>
        <v>47.178879310344826</v>
      </c>
      <c r="F401" s="317">
        <f t="shared" si="134"/>
        <v>46.100574712643684</v>
      </c>
      <c r="G401" s="317">
        <f t="shared" si="134"/>
        <v>49.505986590038319</v>
      </c>
      <c r="H401" s="317">
        <f t="shared" si="134"/>
        <v>54.301288167938935</v>
      </c>
      <c r="I401" s="317">
        <f t="shared" si="134"/>
        <v>32.435336538461542</v>
      </c>
      <c r="J401" s="317">
        <f t="shared" si="134"/>
        <v>26.391586538461535</v>
      </c>
      <c r="K401" s="317">
        <f t="shared" si="134"/>
        <v>18.672836538461539</v>
      </c>
      <c r="L401" s="317">
        <f t="shared" si="134"/>
        <v>18.633587786259543</v>
      </c>
      <c r="M401" s="317">
        <f t="shared" si="131"/>
        <v>-3.9248752201995529E-2</v>
      </c>
      <c r="N401" s="317"/>
    </row>
    <row r="402" spans="1:14" s="35" customFormat="1" ht="12" thickBot="1" x14ac:dyDescent="0.25">
      <c r="A402" s="211"/>
      <c r="B402" s="213" t="s">
        <v>22</v>
      </c>
      <c r="C402" s="318">
        <f t="shared" ref="C402:L402" si="135">C392+C395</f>
        <v>-0.3888888888888889</v>
      </c>
      <c r="D402" s="318">
        <f t="shared" si="135"/>
        <v>0.19711538461538458</v>
      </c>
      <c r="E402" s="318">
        <f t="shared" si="135"/>
        <v>-0.25646551724137934</v>
      </c>
      <c r="F402" s="318">
        <f t="shared" si="135"/>
        <v>2.5383141762452099E-2</v>
      </c>
      <c r="G402" s="318">
        <f t="shared" si="135"/>
        <v>0.8752394636015326</v>
      </c>
      <c r="H402" s="318">
        <f t="shared" si="135"/>
        <v>0.17628816793893132</v>
      </c>
      <c r="I402" s="318">
        <f t="shared" si="135"/>
        <v>1.4555288461538463</v>
      </c>
      <c r="J402" s="318">
        <f t="shared" si="135"/>
        <v>1.4555288461538463</v>
      </c>
      <c r="K402" s="318">
        <f t="shared" si="135"/>
        <v>1.4555288461538463</v>
      </c>
      <c r="L402" s="318">
        <f t="shared" si="135"/>
        <v>0</v>
      </c>
      <c r="M402" s="318">
        <f t="shared" si="131"/>
        <v>-1.4555288461538463</v>
      </c>
      <c r="N402" s="319"/>
    </row>
    <row r="403" spans="1:14" s="312" customFormat="1" ht="12" thickBot="1" x14ac:dyDescent="0.25">
      <c r="A403" s="302"/>
      <c r="B403" s="303" t="s">
        <v>23</v>
      </c>
      <c r="C403" s="320">
        <f t="shared" ref="C403:L403" si="136">C401+C402</f>
        <v>42.079022988505749</v>
      </c>
      <c r="D403" s="320">
        <f t="shared" si="136"/>
        <v>43.73317307692308</v>
      </c>
      <c r="E403" s="320">
        <f t="shared" si="136"/>
        <v>46.922413793103445</v>
      </c>
      <c r="F403" s="320">
        <f t="shared" si="136"/>
        <v>46.125957854406138</v>
      </c>
      <c r="G403" s="320">
        <f t="shared" si="136"/>
        <v>50.38122605363985</v>
      </c>
      <c r="H403" s="320">
        <f t="shared" si="136"/>
        <v>54.477576335877863</v>
      </c>
      <c r="I403" s="320">
        <f t="shared" si="136"/>
        <v>33.890865384615388</v>
      </c>
      <c r="J403" s="320">
        <f t="shared" si="136"/>
        <v>27.847115384615382</v>
      </c>
      <c r="K403" s="320">
        <f t="shared" si="136"/>
        <v>20.128365384615385</v>
      </c>
      <c r="L403" s="320">
        <f t="shared" si="136"/>
        <v>18.633587786259543</v>
      </c>
      <c r="M403" s="320">
        <f t="shared" si="131"/>
        <v>-1.4947775983558422</v>
      </c>
      <c r="N403" s="319"/>
    </row>
    <row r="404" spans="1:14" s="321" customFormat="1" ht="12" thickTop="1" x14ac:dyDescent="0.2">
      <c r="A404" s="195"/>
      <c r="B404" s="194"/>
      <c r="C404" s="274"/>
      <c r="D404" s="274"/>
      <c r="E404" s="274"/>
      <c r="F404" s="274"/>
      <c r="G404" s="274"/>
      <c r="H404" s="274"/>
      <c r="I404" s="274"/>
      <c r="J404" s="274"/>
      <c r="K404" s="274"/>
      <c r="L404" s="274"/>
      <c r="M404" s="274"/>
      <c r="N404" s="274"/>
    </row>
    <row r="405" spans="1:14" s="321" customFormat="1" x14ac:dyDescent="0.2">
      <c r="A405" s="195"/>
      <c r="B405" s="194"/>
      <c r="C405" s="274"/>
      <c r="D405" s="274"/>
      <c r="E405" s="274"/>
      <c r="F405" s="274"/>
      <c r="G405" s="274"/>
      <c r="H405" s="274"/>
      <c r="I405" s="274"/>
      <c r="J405" s="274"/>
      <c r="K405" s="274"/>
      <c r="L405" s="274"/>
      <c r="M405" s="274"/>
      <c r="N405" s="274"/>
    </row>
    <row r="406" spans="1:14" s="321" customFormat="1" ht="12" thickBot="1" x14ac:dyDescent="0.25">
      <c r="A406" s="322" t="s">
        <v>848</v>
      </c>
      <c r="B406" s="323"/>
      <c r="C406" s="324">
        <f t="shared" ref="C406:L406" si="137">+C393/C396</f>
        <v>2.7232392575642006</v>
      </c>
      <c r="D406" s="324">
        <f t="shared" si="137"/>
        <v>2.747579615210316</v>
      </c>
      <c r="E406" s="324">
        <f t="shared" si="137"/>
        <v>3.2315898587656022</v>
      </c>
      <c r="F406" s="324">
        <f t="shared" si="137"/>
        <v>3.0983404255319154</v>
      </c>
      <c r="G406" s="324">
        <f t="shared" si="137"/>
        <v>3.3552206673842844</v>
      </c>
      <c r="H406" s="324">
        <f t="shared" si="137"/>
        <v>3.4587840212425323</v>
      </c>
      <c r="I406" s="324">
        <f t="shared" si="137"/>
        <v>2.847031215891727</v>
      </c>
      <c r="J406" s="324">
        <f t="shared" si="137"/>
        <v>2.9298459868376416</v>
      </c>
      <c r="K406" s="324">
        <f t="shared" si="137"/>
        <v>4.1918402777777777</v>
      </c>
      <c r="L406" s="324">
        <f t="shared" si="137"/>
        <v>3.4953959484346222</v>
      </c>
      <c r="M406" s="324">
        <f t="shared" si="131"/>
        <v>-0.69644432934315548</v>
      </c>
      <c r="N406" s="324">
        <v>5</v>
      </c>
    </row>
    <row r="407" spans="1:14" s="321" customFormat="1" ht="12" thickTop="1" x14ac:dyDescent="0.2">
      <c r="A407" s="195"/>
      <c r="B407" s="194"/>
      <c r="C407" s="274"/>
      <c r="D407" s="274"/>
      <c r="E407" s="274"/>
      <c r="F407" s="274"/>
      <c r="G407" s="274"/>
      <c r="H407" s="274"/>
      <c r="I407" s="274"/>
      <c r="J407" s="274"/>
      <c r="K407" s="274"/>
      <c r="L407" s="274"/>
      <c r="M407" s="274"/>
      <c r="N407" s="274"/>
    </row>
    <row r="408" spans="1:14" s="321" customFormat="1" x14ac:dyDescent="0.2">
      <c r="A408" s="195"/>
      <c r="B408" s="194"/>
      <c r="C408" s="274"/>
      <c r="D408" s="274"/>
      <c r="E408" s="274"/>
      <c r="F408" s="274"/>
      <c r="G408" s="274"/>
      <c r="H408" s="274"/>
      <c r="I408" s="274"/>
      <c r="J408" s="274"/>
      <c r="K408" s="274"/>
      <c r="L408" s="274"/>
      <c r="M408" s="274"/>
      <c r="N408" s="274"/>
    </row>
    <row r="409" spans="1:14" s="35" customFormat="1" ht="12" thickBot="1" x14ac:dyDescent="0.25">
      <c r="A409" s="211"/>
      <c r="B409" s="213" t="s">
        <v>25</v>
      </c>
      <c r="C409" s="325">
        <f t="shared" ref="C409:L409" si="138">+C8</f>
        <v>2003</v>
      </c>
      <c r="D409" s="325">
        <f t="shared" si="138"/>
        <v>2004</v>
      </c>
      <c r="E409" s="325">
        <f t="shared" si="138"/>
        <v>2005</v>
      </c>
      <c r="F409" s="325">
        <f t="shared" si="138"/>
        <v>2006</v>
      </c>
      <c r="G409" s="325">
        <f t="shared" si="138"/>
        <v>2007</v>
      </c>
      <c r="H409" s="325">
        <f t="shared" si="138"/>
        <v>2008</v>
      </c>
      <c r="I409" s="325">
        <f t="shared" si="138"/>
        <v>2009</v>
      </c>
      <c r="J409" s="325">
        <f t="shared" si="138"/>
        <v>2010</v>
      </c>
      <c r="K409" s="325">
        <f t="shared" si="138"/>
        <v>2011</v>
      </c>
      <c r="L409" s="325" t="str">
        <f t="shared" si="138"/>
        <v>Plan2012</v>
      </c>
      <c r="M409" s="326" t="str">
        <f>+M6</f>
        <v>Variance</v>
      </c>
      <c r="N409" s="325"/>
    </row>
    <row r="410" spans="1:14" s="35" customFormat="1" x14ac:dyDescent="0.2">
      <c r="A410" s="195"/>
      <c r="B410" s="194" t="s">
        <v>26</v>
      </c>
      <c r="C410" s="327">
        <f t="shared" ref="C410:L410" si="139">C137/(C137+C152+C159)</f>
        <v>0.56871224264174136</v>
      </c>
      <c r="D410" s="327">
        <f t="shared" si="139"/>
        <v>0.55789141108171603</v>
      </c>
      <c r="E410" s="327">
        <f t="shared" si="139"/>
        <v>0.53840412551567196</v>
      </c>
      <c r="F410" s="327">
        <f t="shared" si="139"/>
        <v>0.54139480841777654</v>
      </c>
      <c r="G410" s="327">
        <f t="shared" si="139"/>
        <v>0.60599678675426849</v>
      </c>
      <c r="H410" s="327">
        <f t="shared" si="139"/>
        <v>0.52267202303348614</v>
      </c>
      <c r="I410" s="327">
        <f t="shared" si="139"/>
        <v>0.52691697384817582</v>
      </c>
      <c r="J410" s="327">
        <f t="shared" si="139"/>
        <v>0.52644966481751909</v>
      </c>
      <c r="K410" s="327">
        <f t="shared" si="139"/>
        <v>0.62803308671307634</v>
      </c>
      <c r="L410" s="327">
        <f t="shared" si="139"/>
        <v>0.4862349808842798</v>
      </c>
      <c r="M410" s="327">
        <f t="shared" si="131"/>
        <v>-0.14179810582879654</v>
      </c>
      <c r="N410" s="327">
        <v>0.61399999999999999</v>
      </c>
    </row>
    <row r="411" spans="1:14" s="35" customFormat="1" x14ac:dyDescent="0.2">
      <c r="A411" s="195"/>
      <c r="B411" s="194" t="s">
        <v>847</v>
      </c>
      <c r="C411" s="308">
        <f t="shared" ref="C411:L411" si="140">C137/(C137+C152)</f>
        <v>0.61280024439771064</v>
      </c>
      <c r="D411" s="308">
        <f t="shared" si="140"/>
        <v>0.59873777611689771</v>
      </c>
      <c r="E411" s="308">
        <f t="shared" si="140"/>
        <v>0.5875933505262666</v>
      </c>
      <c r="F411" s="308">
        <f t="shared" si="140"/>
        <v>0.58418294081850075</v>
      </c>
      <c r="G411" s="308">
        <f t="shared" si="140"/>
        <v>0.63763443205462056</v>
      </c>
      <c r="H411" s="308">
        <f t="shared" si="140"/>
        <v>0.57144269816299187</v>
      </c>
      <c r="I411" s="308">
        <f t="shared" si="140"/>
        <v>0.52895871080301426</v>
      </c>
      <c r="J411" s="308">
        <f t="shared" si="140"/>
        <v>0.56001035577567826</v>
      </c>
      <c r="K411" s="308">
        <f t="shared" si="140"/>
        <v>0.67446001027523106</v>
      </c>
      <c r="L411" s="308">
        <f t="shared" si="140"/>
        <v>0.52146345356367529</v>
      </c>
      <c r="M411" s="308">
        <f t="shared" si="131"/>
        <v>-0.15299655671155576</v>
      </c>
      <c r="N411" s="308"/>
    </row>
    <row r="412" spans="1:14" s="35" customFormat="1" x14ac:dyDescent="0.2">
      <c r="A412" s="195"/>
      <c r="B412" s="194" t="s">
        <v>27</v>
      </c>
      <c r="C412" s="328">
        <f t="shared" ref="C412:L412" si="141">C364/(C371-C381)</f>
        <v>0.53031926290979214</v>
      </c>
      <c r="D412" s="328">
        <f t="shared" si="141"/>
        <v>0.5244989233062779</v>
      </c>
      <c r="E412" s="328">
        <f t="shared" si="141"/>
        <v>0.50468228952537575</v>
      </c>
      <c r="F412" s="328">
        <f t="shared" si="141"/>
        <v>0.50233746805460322</v>
      </c>
      <c r="G412" s="328">
        <f t="shared" si="141"/>
        <v>0.57111208927284429</v>
      </c>
      <c r="H412" s="327">
        <f t="shared" si="141"/>
        <v>0.49982647354710036</v>
      </c>
      <c r="I412" s="327">
        <f t="shared" si="141"/>
        <v>0.50658484706998397</v>
      </c>
      <c r="J412" s="327">
        <f t="shared" si="141"/>
        <v>0.50955924546174935</v>
      </c>
      <c r="K412" s="327">
        <f t="shared" si="141"/>
        <v>0.58790664143462201</v>
      </c>
      <c r="L412" s="327">
        <f t="shared" si="141"/>
        <v>0.57783695206882424</v>
      </c>
      <c r="M412" s="327">
        <f t="shared" si="131"/>
        <v>-1.0069689365797774E-2</v>
      </c>
      <c r="N412" s="328"/>
    </row>
    <row r="413" spans="1:14" s="35" customFormat="1" x14ac:dyDescent="0.2">
      <c r="A413" s="195"/>
      <c r="B413" s="194" t="s">
        <v>28</v>
      </c>
      <c r="C413" s="327">
        <f t="shared" ref="C413:L413" si="142">C364/C371</f>
        <v>0.53522040495783108</v>
      </c>
      <c r="D413" s="327">
        <f t="shared" si="142"/>
        <v>0.52213488704446764</v>
      </c>
      <c r="E413" s="327">
        <f t="shared" si="142"/>
        <v>0.507440749586625</v>
      </c>
      <c r="F413" s="327">
        <f t="shared" si="142"/>
        <v>0.50206103145019776</v>
      </c>
      <c r="G413" s="327">
        <f t="shared" si="142"/>
        <v>0.56119053956424203</v>
      </c>
      <c r="H413" s="327">
        <f t="shared" si="142"/>
        <v>0.49820904672242411</v>
      </c>
      <c r="I413" s="327">
        <f t="shared" si="142"/>
        <v>0.4848282808222093</v>
      </c>
      <c r="J413" s="327">
        <f t="shared" si="142"/>
        <v>0.48292531335243949</v>
      </c>
      <c r="K413" s="327">
        <f t="shared" si="142"/>
        <v>0.54539374686507269</v>
      </c>
      <c r="L413" s="327">
        <f t="shared" si="142"/>
        <v>0.57783695206882424</v>
      </c>
      <c r="M413" s="327">
        <f t="shared" si="131"/>
        <v>3.2443205203751546E-2</v>
      </c>
      <c r="N413" s="327"/>
    </row>
    <row r="414" spans="1:14" s="35" customFormat="1" x14ac:dyDescent="0.2">
      <c r="A414" s="195"/>
      <c r="B414" s="194" t="s">
        <v>846</v>
      </c>
      <c r="C414" s="327">
        <f t="shared" ref="C414:L414" si="143">C364/C373</f>
        <v>0.58423406634364516</v>
      </c>
      <c r="D414" s="327">
        <f t="shared" si="143"/>
        <v>0.56196978122744534</v>
      </c>
      <c r="E414" s="327">
        <f t="shared" si="143"/>
        <v>0.5559270482729316</v>
      </c>
      <c r="F414" s="327">
        <f t="shared" si="143"/>
        <v>0.54405526739201371</v>
      </c>
      <c r="G414" s="327">
        <f t="shared" si="143"/>
        <v>0.59633120195561484</v>
      </c>
      <c r="H414" s="327">
        <f t="shared" si="143"/>
        <v>0.54439319412811726</v>
      </c>
      <c r="I414" s="327">
        <f t="shared" si="143"/>
        <v>0.49164928432712363</v>
      </c>
      <c r="J414" s="327">
        <f t="shared" si="143"/>
        <v>0.51727198757304538</v>
      </c>
      <c r="K414" s="327">
        <f t="shared" si="143"/>
        <v>0.58421389279774849</v>
      </c>
      <c r="L414" s="327">
        <f t="shared" si="143"/>
        <v>0.6288452964779313</v>
      </c>
      <c r="M414" s="327">
        <f t="shared" si="131"/>
        <v>4.4631403680182813E-2</v>
      </c>
      <c r="N414" s="327"/>
    </row>
    <row r="415" spans="1:14" s="35" customFormat="1" ht="12" thickBot="1" x14ac:dyDescent="0.25">
      <c r="A415" s="228"/>
      <c r="B415" s="287" t="s">
        <v>29</v>
      </c>
      <c r="C415" s="310">
        <f t="shared" ref="C415:L415" si="144">C364/C367</f>
        <v>0.7317585546893236</v>
      </c>
      <c r="D415" s="310">
        <f t="shared" si="144"/>
        <v>0.7121693756372578</v>
      </c>
      <c r="E415" s="310">
        <f t="shared" si="144"/>
        <v>0.66446585851565731</v>
      </c>
      <c r="F415" s="310">
        <f t="shared" si="144"/>
        <v>0.66410295147711196</v>
      </c>
      <c r="G415" s="310">
        <f t="shared" si="144"/>
        <v>0.72844944596628913</v>
      </c>
      <c r="H415" s="310">
        <f t="shared" si="144"/>
        <v>0.64225072254335258</v>
      </c>
      <c r="I415" s="310">
        <f t="shared" si="144"/>
        <v>0.65512085721405433</v>
      </c>
      <c r="J415" s="310">
        <f t="shared" si="144"/>
        <v>0.64775490355000809</v>
      </c>
      <c r="K415" s="310">
        <f t="shared" si="144"/>
        <v>0.67550217436322224</v>
      </c>
      <c r="L415" s="310">
        <f t="shared" si="144"/>
        <v>0.74315068493150682</v>
      </c>
      <c r="M415" s="310">
        <f t="shared" si="131"/>
        <v>6.7648510568284581E-2</v>
      </c>
      <c r="N415" s="310"/>
    </row>
    <row r="416" spans="1:14" s="35" customFormat="1" ht="12" thickTop="1" x14ac:dyDescent="0.2">
      <c r="A416" s="195"/>
      <c r="B416" s="194"/>
      <c r="C416" s="274"/>
      <c r="D416" s="274"/>
      <c r="E416" s="274"/>
      <c r="F416" s="274"/>
      <c r="G416" s="274"/>
      <c r="H416" s="274"/>
      <c r="I416" s="274"/>
      <c r="J416" s="274"/>
      <c r="K416" s="274"/>
      <c r="L416" s="274"/>
      <c r="M416" s="274">
        <f t="shared" si="131"/>
        <v>0</v>
      </c>
      <c r="N416" s="274"/>
    </row>
    <row r="417" spans="1:14" s="35" customFormat="1" x14ac:dyDescent="0.2">
      <c r="A417" s="195"/>
      <c r="B417" s="194"/>
      <c r="C417" s="274"/>
      <c r="D417" s="274"/>
      <c r="E417" s="274"/>
      <c r="F417" s="274"/>
      <c r="G417" s="274"/>
      <c r="H417" s="274"/>
      <c r="I417" s="274"/>
      <c r="J417" s="274"/>
      <c r="K417" s="274"/>
      <c r="L417" s="274"/>
      <c r="M417" s="274">
        <f t="shared" si="131"/>
        <v>0</v>
      </c>
      <c r="N417" s="274"/>
    </row>
    <row r="418" spans="1:14" s="35" customFormat="1" ht="12" thickBot="1" x14ac:dyDescent="0.25">
      <c r="A418" s="211"/>
      <c r="B418" s="275" t="s">
        <v>30</v>
      </c>
      <c r="C418" s="325">
        <f t="shared" ref="C418:L418" si="145">+C8</f>
        <v>2003</v>
      </c>
      <c r="D418" s="325">
        <f t="shared" si="145"/>
        <v>2004</v>
      </c>
      <c r="E418" s="325">
        <f t="shared" si="145"/>
        <v>2005</v>
      </c>
      <c r="F418" s="325">
        <f t="shared" si="145"/>
        <v>2006</v>
      </c>
      <c r="G418" s="325">
        <f t="shared" si="145"/>
        <v>2007</v>
      </c>
      <c r="H418" s="325">
        <f t="shared" si="145"/>
        <v>2008</v>
      </c>
      <c r="I418" s="325">
        <f t="shared" si="145"/>
        <v>2009</v>
      </c>
      <c r="J418" s="325">
        <f t="shared" si="145"/>
        <v>2010</v>
      </c>
      <c r="K418" s="325">
        <f t="shared" si="145"/>
        <v>2011</v>
      </c>
      <c r="L418" s="325" t="str">
        <f t="shared" si="145"/>
        <v>Plan2012</v>
      </c>
      <c r="M418" s="326" t="str">
        <f>+M6</f>
        <v>Variance</v>
      </c>
      <c r="N418" s="329"/>
    </row>
    <row r="419" spans="1:14" s="35" customFormat="1" ht="12" thickBot="1" x14ac:dyDescent="0.25">
      <c r="A419" s="211"/>
      <c r="B419" s="213" t="s">
        <v>31</v>
      </c>
      <c r="C419" s="330">
        <f t="shared" ref="C419:L419" si="146">C437/C364</f>
        <v>103.55671749069647</v>
      </c>
      <c r="D419" s="330">
        <f t="shared" si="146"/>
        <v>90.848683468081532</v>
      </c>
      <c r="E419" s="330">
        <f t="shared" si="146"/>
        <v>98.182110990425642</v>
      </c>
      <c r="F419" s="330">
        <f t="shared" si="146"/>
        <v>111.35657835959795</v>
      </c>
      <c r="G419" s="330">
        <f t="shared" si="146"/>
        <v>105.23582163123574</v>
      </c>
      <c r="H419" s="330">
        <f t="shared" si="146"/>
        <v>101.22746501898467</v>
      </c>
      <c r="I419" s="330">
        <f t="shared" si="146"/>
        <v>90.86177517043626</v>
      </c>
      <c r="J419" s="330">
        <f t="shared" si="146"/>
        <v>94.688298655798661</v>
      </c>
      <c r="K419" s="330">
        <f t="shared" si="146"/>
        <v>58.00289962336867</v>
      </c>
      <c r="L419" s="330">
        <f t="shared" si="146"/>
        <v>102.46753716937626</v>
      </c>
      <c r="M419" s="330">
        <f t="shared" si="131"/>
        <v>44.464637546007587</v>
      </c>
      <c r="N419" s="331"/>
    </row>
    <row r="420" spans="1:14" s="35" customFormat="1" x14ac:dyDescent="0.2">
      <c r="A420" s="195"/>
      <c r="B420" s="194" t="s">
        <v>32</v>
      </c>
      <c r="C420" s="332">
        <f t="shared" ref="C420:L420" si="147">C438/C364</f>
        <v>26.154271557682087</v>
      </c>
      <c r="D420" s="332">
        <f t="shared" si="147"/>
        <v>27.747664434899782</v>
      </c>
      <c r="E420" s="332">
        <f t="shared" si="147"/>
        <v>27.162194866843674</v>
      </c>
      <c r="F420" s="332">
        <f t="shared" si="147"/>
        <v>29.78034805807172</v>
      </c>
      <c r="G420" s="332">
        <f t="shared" si="147"/>
        <v>30.61892233420852</v>
      </c>
      <c r="H420" s="332">
        <f t="shared" si="147"/>
        <v>30.647983581774714</v>
      </c>
      <c r="I420" s="332">
        <f t="shared" si="147"/>
        <v>31.713220294350002</v>
      </c>
      <c r="J420" s="332">
        <f t="shared" si="147"/>
        <v>32.034864864864865</v>
      </c>
      <c r="K420" s="332">
        <f t="shared" si="147"/>
        <v>33.114637820793554</v>
      </c>
      <c r="L420" s="332">
        <f t="shared" si="147"/>
        <v>26.865733250620348</v>
      </c>
      <c r="M420" s="332">
        <f t="shared" si="131"/>
        <v>-6.248904570173206</v>
      </c>
      <c r="N420" s="331"/>
    </row>
    <row r="421" spans="1:14" s="35" customFormat="1" ht="12" thickBot="1" x14ac:dyDescent="0.25">
      <c r="A421" s="211"/>
      <c r="B421" s="213" t="s">
        <v>33</v>
      </c>
      <c r="C421" s="330">
        <f t="shared" ref="C421:L421" si="148">C439/C364</f>
        <v>45.157898777246146</v>
      </c>
      <c r="D421" s="330">
        <f t="shared" si="148"/>
        <v>51.226450016843529</v>
      </c>
      <c r="E421" s="330">
        <f t="shared" si="148"/>
        <v>50.293055555555554</v>
      </c>
      <c r="F421" s="330">
        <f t="shared" si="148"/>
        <v>55.647464532406836</v>
      </c>
      <c r="G421" s="330">
        <f t="shared" si="148"/>
        <v>49.548713644448206</v>
      </c>
      <c r="H421" s="330">
        <f t="shared" si="148"/>
        <v>59.104785719308111</v>
      </c>
      <c r="I421" s="330">
        <f t="shared" si="148"/>
        <v>64.845328729847552</v>
      </c>
      <c r="J421" s="330">
        <f t="shared" si="148"/>
        <v>67.037983340483336</v>
      </c>
      <c r="K421" s="330">
        <f t="shared" si="148"/>
        <v>54.447208986598923</v>
      </c>
      <c r="L421" s="330">
        <f t="shared" si="148"/>
        <v>59.09412801420229</v>
      </c>
      <c r="M421" s="330">
        <f t="shared" si="131"/>
        <v>4.6469190276033672</v>
      </c>
      <c r="N421" s="331"/>
    </row>
    <row r="422" spans="1:14" s="312" customFormat="1" ht="12" thickBot="1" x14ac:dyDescent="0.25">
      <c r="A422" s="279"/>
      <c r="B422" s="280" t="s">
        <v>34</v>
      </c>
      <c r="C422" s="295">
        <f t="shared" ref="C422:L422" si="149">C420+C421</f>
        <v>71.312170334928226</v>
      </c>
      <c r="D422" s="295">
        <f t="shared" si="149"/>
        <v>78.974114451743304</v>
      </c>
      <c r="E422" s="295">
        <f t="shared" si="149"/>
        <v>77.455250422399232</v>
      </c>
      <c r="F422" s="295">
        <f t="shared" si="149"/>
        <v>85.427812590478553</v>
      </c>
      <c r="G422" s="295">
        <f t="shared" si="149"/>
        <v>80.167635978656733</v>
      </c>
      <c r="H422" s="295">
        <f t="shared" si="149"/>
        <v>89.752769301082822</v>
      </c>
      <c r="I422" s="295">
        <f t="shared" si="149"/>
        <v>96.558549024197561</v>
      </c>
      <c r="J422" s="295">
        <f t="shared" si="149"/>
        <v>99.072848205348208</v>
      </c>
      <c r="K422" s="295">
        <f t="shared" si="149"/>
        <v>87.56184680739247</v>
      </c>
      <c r="L422" s="295">
        <f t="shared" si="149"/>
        <v>85.959861264822635</v>
      </c>
      <c r="M422" s="295">
        <f t="shared" si="131"/>
        <v>-1.6019855425698353</v>
      </c>
      <c r="N422" s="274"/>
    </row>
    <row r="423" spans="1:14" s="35" customFormat="1" ht="12" thickBot="1" x14ac:dyDescent="0.25">
      <c r="A423" s="302"/>
      <c r="B423" s="303" t="s">
        <v>35</v>
      </c>
      <c r="C423" s="333">
        <f t="shared" ref="C423:L423" si="150">C441/C364</f>
        <v>32.244547155768238</v>
      </c>
      <c r="D423" s="333">
        <f t="shared" si="150"/>
        <v>11.874569016338214</v>
      </c>
      <c r="E423" s="333">
        <f t="shared" si="150"/>
        <v>20.72686056802641</v>
      </c>
      <c r="F423" s="333">
        <f t="shared" si="150"/>
        <v>25.928765769119394</v>
      </c>
      <c r="G423" s="333">
        <f t="shared" si="150"/>
        <v>25.068185652579</v>
      </c>
      <c r="H423" s="333">
        <f t="shared" si="150"/>
        <v>11.474695717901847</v>
      </c>
      <c r="I423" s="333">
        <f t="shared" si="150"/>
        <v>-5.6967738537612913</v>
      </c>
      <c r="J423" s="333">
        <f t="shared" si="150"/>
        <v>-4.3845495495495372</v>
      </c>
      <c r="K423" s="333">
        <f t="shared" si="150"/>
        <v>-29.558947184023808</v>
      </c>
      <c r="L423" s="333">
        <f t="shared" si="150"/>
        <v>16.507675904553597</v>
      </c>
      <c r="M423" s="333">
        <f t="shared" si="131"/>
        <v>46.066623088577401</v>
      </c>
      <c r="N423" s="331"/>
    </row>
    <row r="424" spans="1:14" s="35" customFormat="1" ht="12" thickTop="1" x14ac:dyDescent="0.2">
      <c r="A424" s="195"/>
      <c r="B424" s="194"/>
      <c r="C424" s="334"/>
      <c r="D424" s="334"/>
      <c r="E424" s="334"/>
      <c r="F424" s="334"/>
      <c r="G424" s="334"/>
      <c r="H424" s="334"/>
      <c r="I424" s="334"/>
      <c r="J424" s="334"/>
      <c r="K424" s="334"/>
      <c r="L424" s="334"/>
      <c r="M424" s="334"/>
      <c r="N424" s="334"/>
    </row>
    <row r="425" spans="1:14" s="35" customFormat="1" x14ac:dyDescent="0.2">
      <c r="A425" s="195"/>
      <c r="B425" s="194"/>
      <c r="C425" s="274"/>
      <c r="D425" s="274"/>
      <c r="E425" s="274"/>
      <c r="F425" s="274"/>
      <c r="G425" s="274"/>
      <c r="H425" s="274"/>
      <c r="I425" s="274"/>
      <c r="J425" s="274"/>
      <c r="K425" s="274"/>
      <c r="L425" s="274"/>
      <c r="M425" s="274"/>
      <c r="N425" s="274"/>
    </row>
    <row r="426" spans="1:14" s="35" customFormat="1" ht="12" thickBot="1" x14ac:dyDescent="0.25">
      <c r="A426" s="211"/>
      <c r="B426" s="275" t="s">
        <v>36</v>
      </c>
      <c r="C426" s="325">
        <f t="shared" ref="C426:L426" si="151">+C8</f>
        <v>2003</v>
      </c>
      <c r="D426" s="325">
        <f t="shared" si="151"/>
        <v>2004</v>
      </c>
      <c r="E426" s="325">
        <f t="shared" si="151"/>
        <v>2005</v>
      </c>
      <c r="F426" s="325">
        <f t="shared" si="151"/>
        <v>2006</v>
      </c>
      <c r="G426" s="325">
        <f t="shared" si="151"/>
        <v>2007</v>
      </c>
      <c r="H426" s="325">
        <f t="shared" si="151"/>
        <v>2008</v>
      </c>
      <c r="I426" s="325">
        <f t="shared" si="151"/>
        <v>2009</v>
      </c>
      <c r="J426" s="325">
        <f t="shared" si="151"/>
        <v>2010</v>
      </c>
      <c r="K426" s="325">
        <f t="shared" si="151"/>
        <v>2011</v>
      </c>
      <c r="L426" s="325" t="str">
        <f t="shared" si="151"/>
        <v>Plan2012</v>
      </c>
      <c r="M426" s="326"/>
      <c r="N426" s="329"/>
    </row>
    <row r="427" spans="1:14" s="35" customFormat="1" ht="12" thickBot="1" x14ac:dyDescent="0.25">
      <c r="A427" s="279"/>
      <c r="B427" s="280" t="s">
        <v>31</v>
      </c>
      <c r="C427" s="330">
        <f t="shared" ref="C427:L427" si="152">C437/C438</f>
        <v>3.9594571487990677</v>
      </c>
      <c r="D427" s="330">
        <f t="shared" si="152"/>
        <v>3.2741019944661027</v>
      </c>
      <c r="E427" s="330">
        <f t="shared" si="152"/>
        <v>3.6146604304895291</v>
      </c>
      <c r="F427" s="330">
        <f t="shared" si="152"/>
        <v>3.7392638307132096</v>
      </c>
      <c r="G427" s="330">
        <f t="shared" si="152"/>
        <v>3.436953805316088</v>
      </c>
      <c r="H427" s="330">
        <f t="shared" si="152"/>
        <v>3.3029078323828491</v>
      </c>
      <c r="I427" s="330">
        <f t="shared" si="152"/>
        <v>2.8651071801315653</v>
      </c>
      <c r="J427" s="330">
        <f t="shared" si="152"/>
        <v>2.9557889210780068</v>
      </c>
      <c r="K427" s="330">
        <f t="shared" si="152"/>
        <v>1.7515788618091761</v>
      </c>
      <c r="L427" s="330">
        <f t="shared" si="152"/>
        <v>3.8140606926114775</v>
      </c>
      <c r="M427" s="330">
        <f t="shared" si="131"/>
        <v>2.0624818308023016</v>
      </c>
      <c r="N427" s="331"/>
    </row>
    <row r="428" spans="1:14" s="35" customFormat="1" x14ac:dyDescent="0.2">
      <c r="A428" s="195"/>
      <c r="B428" s="194" t="s">
        <v>37</v>
      </c>
      <c r="C428" s="332">
        <f t="shared" ref="C428:L428" si="153">C438/C438</f>
        <v>1</v>
      </c>
      <c r="D428" s="332">
        <f t="shared" si="153"/>
        <v>1</v>
      </c>
      <c r="E428" s="332">
        <f t="shared" si="153"/>
        <v>1</v>
      </c>
      <c r="F428" s="332">
        <f t="shared" si="153"/>
        <v>1</v>
      </c>
      <c r="G428" s="332">
        <f t="shared" si="153"/>
        <v>1</v>
      </c>
      <c r="H428" s="332">
        <f t="shared" si="153"/>
        <v>1</v>
      </c>
      <c r="I428" s="332">
        <f t="shared" si="153"/>
        <v>1</v>
      </c>
      <c r="J428" s="332">
        <f t="shared" si="153"/>
        <v>1</v>
      </c>
      <c r="K428" s="332">
        <f t="shared" si="153"/>
        <v>1</v>
      </c>
      <c r="L428" s="332">
        <f t="shared" si="153"/>
        <v>1</v>
      </c>
      <c r="M428" s="332"/>
      <c r="N428" s="331"/>
    </row>
    <row r="429" spans="1:14" s="35" customFormat="1" ht="12" thickBot="1" x14ac:dyDescent="0.25">
      <c r="A429" s="211"/>
      <c r="B429" s="213" t="s">
        <v>38</v>
      </c>
      <c r="C429" s="330">
        <f t="shared" ref="C429:L429" si="154">C439/C438</f>
        <v>1.7265974576142333</v>
      </c>
      <c r="D429" s="330">
        <f t="shared" si="154"/>
        <v>1.8461535794130899</v>
      </c>
      <c r="E429" s="330">
        <f t="shared" si="154"/>
        <v>1.8515829005021696</v>
      </c>
      <c r="F429" s="330">
        <f t="shared" si="154"/>
        <v>1.8685968486296467</v>
      </c>
      <c r="G429" s="330">
        <f t="shared" si="154"/>
        <v>1.6182383267320506</v>
      </c>
      <c r="H429" s="330">
        <f t="shared" si="154"/>
        <v>1.9285048741169275</v>
      </c>
      <c r="I429" s="330">
        <f t="shared" si="154"/>
        <v>2.0447412192132486</v>
      </c>
      <c r="J429" s="330">
        <f t="shared" si="154"/>
        <v>2.0926569730596594</v>
      </c>
      <c r="K429" s="330">
        <f t="shared" si="154"/>
        <v>1.6442036685181587</v>
      </c>
      <c r="L429" s="330">
        <f t="shared" si="154"/>
        <v>2.1996097207895029</v>
      </c>
      <c r="M429" s="330">
        <f t="shared" si="131"/>
        <v>0.55540605227134421</v>
      </c>
      <c r="N429" s="331"/>
    </row>
    <row r="430" spans="1:14" s="315" customFormat="1" ht="12" thickBot="1" x14ac:dyDescent="0.25">
      <c r="A430" s="279"/>
      <c r="B430" s="280" t="s">
        <v>34</v>
      </c>
      <c r="C430" s="295">
        <f t="shared" ref="C430:L430" si="155">C428+C429</f>
        <v>2.7265974576142336</v>
      </c>
      <c r="D430" s="295">
        <f t="shared" si="155"/>
        <v>2.8461535794130901</v>
      </c>
      <c r="E430" s="295">
        <f t="shared" si="155"/>
        <v>2.8515829005021693</v>
      </c>
      <c r="F430" s="295">
        <f t="shared" si="155"/>
        <v>2.8685968486296467</v>
      </c>
      <c r="G430" s="295">
        <f t="shared" si="155"/>
        <v>2.6182383267320506</v>
      </c>
      <c r="H430" s="295">
        <f t="shared" si="155"/>
        <v>2.9285048741169275</v>
      </c>
      <c r="I430" s="295">
        <f t="shared" si="155"/>
        <v>3.0447412192132486</v>
      </c>
      <c r="J430" s="295">
        <f t="shared" si="155"/>
        <v>3.0926569730596594</v>
      </c>
      <c r="K430" s="295">
        <f t="shared" si="155"/>
        <v>2.6442036685181587</v>
      </c>
      <c r="L430" s="295">
        <f t="shared" si="155"/>
        <v>3.1996097207895029</v>
      </c>
      <c r="M430" s="295">
        <f t="shared" si="131"/>
        <v>0.55540605227134421</v>
      </c>
      <c r="N430" s="274"/>
    </row>
    <row r="431" spans="1:14" s="35" customFormat="1" ht="12" thickBot="1" x14ac:dyDescent="0.25">
      <c r="A431" s="302"/>
      <c r="B431" s="303" t="s">
        <v>35</v>
      </c>
      <c r="C431" s="333">
        <f t="shared" ref="C431:L431" si="156">C441/C438</f>
        <v>1.2328596911848346</v>
      </c>
      <c r="D431" s="333">
        <f t="shared" si="156"/>
        <v>0.42794841505301279</v>
      </c>
      <c r="E431" s="333">
        <f t="shared" si="156"/>
        <v>0.76307752998735967</v>
      </c>
      <c r="F431" s="333">
        <f t="shared" si="156"/>
        <v>0.87066698208356275</v>
      </c>
      <c r="G431" s="333">
        <f t="shared" si="156"/>
        <v>0.81871547858403737</v>
      </c>
      <c r="H431" s="333">
        <f t="shared" si="156"/>
        <v>0.37440295826592151</v>
      </c>
      <c r="I431" s="333">
        <f t="shared" si="156"/>
        <v>-0.17963403908168304</v>
      </c>
      <c r="J431" s="333">
        <f t="shared" si="156"/>
        <v>-0.13686805198165247</v>
      </c>
      <c r="K431" s="333">
        <f t="shared" si="156"/>
        <v>-0.89262480670898259</v>
      </c>
      <c r="L431" s="333">
        <f t="shared" si="156"/>
        <v>0.61445097182197417</v>
      </c>
      <c r="M431" s="333">
        <f t="shared" si="131"/>
        <v>1.5070757785309568</v>
      </c>
      <c r="N431" s="331"/>
    </row>
    <row r="432" spans="1:14" s="35" customFormat="1" ht="12" thickTop="1" x14ac:dyDescent="0.2">
      <c r="A432" s="195"/>
      <c r="B432" s="194"/>
      <c r="C432" s="274"/>
      <c r="D432" s="274"/>
      <c r="E432" s="274"/>
      <c r="F432" s="274"/>
      <c r="G432" s="274"/>
      <c r="H432" s="274"/>
      <c r="I432" s="274"/>
      <c r="J432" s="274"/>
      <c r="K432" s="274"/>
      <c r="L432" s="274"/>
      <c r="M432" s="274"/>
      <c r="N432" s="274"/>
    </row>
    <row r="433" spans="1:14" s="35" customFormat="1" x14ac:dyDescent="0.2">
      <c r="A433" s="195"/>
      <c r="B433" s="194"/>
      <c r="C433" s="274"/>
      <c r="D433" s="274"/>
      <c r="E433" s="274"/>
      <c r="F433" s="274"/>
      <c r="G433" s="274"/>
      <c r="H433" s="274"/>
      <c r="I433" s="274"/>
      <c r="J433" s="274"/>
      <c r="K433" s="274"/>
      <c r="L433" s="274"/>
      <c r="M433" s="274"/>
      <c r="N433" s="274"/>
    </row>
    <row r="434" spans="1:14" s="35" customFormat="1" ht="12" thickBot="1" x14ac:dyDescent="0.25">
      <c r="A434" s="211"/>
      <c r="B434" s="275" t="s">
        <v>845</v>
      </c>
      <c r="C434" s="325">
        <f t="shared" ref="C434:L434" si="157">+C8</f>
        <v>2003</v>
      </c>
      <c r="D434" s="325">
        <f t="shared" si="157"/>
        <v>2004</v>
      </c>
      <c r="E434" s="325">
        <f t="shared" si="157"/>
        <v>2005</v>
      </c>
      <c r="F434" s="325">
        <f t="shared" si="157"/>
        <v>2006</v>
      </c>
      <c r="G434" s="325">
        <f t="shared" si="157"/>
        <v>2007</v>
      </c>
      <c r="H434" s="325">
        <f t="shared" si="157"/>
        <v>2008</v>
      </c>
      <c r="I434" s="325">
        <f t="shared" si="157"/>
        <v>2009</v>
      </c>
      <c r="J434" s="325">
        <f t="shared" si="157"/>
        <v>2010</v>
      </c>
      <c r="K434" s="325">
        <f t="shared" si="157"/>
        <v>2011</v>
      </c>
      <c r="L434" s="325" t="str">
        <f t="shared" si="157"/>
        <v>Plan2012</v>
      </c>
      <c r="M434" s="326"/>
      <c r="N434" s="329"/>
    </row>
    <row r="435" spans="1:14" s="35" customFormat="1" x14ac:dyDescent="0.2">
      <c r="A435" s="195"/>
      <c r="B435" s="194" t="s">
        <v>39</v>
      </c>
      <c r="C435" s="282">
        <f t="shared" ref="C435:L435" si="158">C28</f>
        <v>7537008.6300000008</v>
      </c>
      <c r="D435" s="282">
        <f t="shared" si="158"/>
        <v>7401625.2000000002</v>
      </c>
      <c r="E435" s="282">
        <f t="shared" si="158"/>
        <v>7693399.9700000007</v>
      </c>
      <c r="F435" s="282">
        <f t="shared" si="158"/>
        <v>8302568.4499999993</v>
      </c>
      <c r="G435" s="282">
        <f t="shared" si="158"/>
        <v>9588780.4300000016</v>
      </c>
      <c r="H435" s="282">
        <f t="shared" si="158"/>
        <v>8864455.9600000009</v>
      </c>
      <c r="I435" s="282">
        <f t="shared" si="158"/>
        <v>4706369.5</v>
      </c>
      <c r="J435" s="282">
        <f t="shared" si="158"/>
        <v>3455339.7</v>
      </c>
      <c r="K435" s="282">
        <f t="shared" si="158"/>
        <v>2418599.0500000003</v>
      </c>
      <c r="L435" s="282">
        <f t="shared" si="158"/>
        <v>4340772.1994463373</v>
      </c>
      <c r="M435" s="282">
        <f t="shared" si="131"/>
        <v>1922173.149446337</v>
      </c>
      <c r="N435" s="282"/>
    </row>
    <row r="436" spans="1:14" s="35" customFormat="1" ht="12" thickBot="1" x14ac:dyDescent="0.25">
      <c r="A436" s="211"/>
      <c r="B436" s="213" t="s">
        <v>177</v>
      </c>
      <c r="C436" s="281">
        <f t="shared" ref="C436:L436" si="159">C76+C128</f>
        <v>2667253.9900000002</v>
      </c>
      <c r="D436" s="281">
        <f t="shared" si="159"/>
        <v>3086676.13</v>
      </c>
      <c r="E436" s="281">
        <f t="shared" si="159"/>
        <v>2812178.1399999997</v>
      </c>
      <c r="F436" s="281">
        <f t="shared" si="159"/>
        <v>2918032.46</v>
      </c>
      <c r="G436" s="281">
        <f t="shared" si="159"/>
        <v>3376183.6999999997</v>
      </c>
      <c r="H436" s="281">
        <f t="shared" si="159"/>
        <v>3105827.9300000006</v>
      </c>
      <c r="I436" s="281">
        <f t="shared" si="159"/>
        <v>1600986.6099999999</v>
      </c>
      <c r="J436" s="281">
        <f t="shared" si="159"/>
        <v>806718.6100000001</v>
      </c>
      <c r="K436" s="281">
        <f t="shared" si="159"/>
        <v>1094160.8400000001</v>
      </c>
      <c r="L436" s="281">
        <f t="shared" si="159"/>
        <v>2028284.8206078541</v>
      </c>
      <c r="M436" s="281">
        <f t="shared" si="131"/>
        <v>934123.98060785397</v>
      </c>
      <c r="N436" s="282"/>
    </row>
    <row r="437" spans="1:14" s="35" customFormat="1" ht="12" thickBot="1" x14ac:dyDescent="0.25">
      <c r="A437" s="279"/>
      <c r="B437" s="280" t="s">
        <v>31</v>
      </c>
      <c r="C437" s="283">
        <f t="shared" ref="C437:L437" si="160">C131</f>
        <v>4869754.6400000015</v>
      </c>
      <c r="D437" s="283">
        <f t="shared" si="160"/>
        <v>4314949.07</v>
      </c>
      <c r="E437" s="283">
        <f t="shared" si="160"/>
        <v>4881221.830000001</v>
      </c>
      <c r="F437" s="283">
        <f t="shared" si="160"/>
        <v>5384535.9899999993</v>
      </c>
      <c r="G437" s="283">
        <f t="shared" si="160"/>
        <v>6212596.7300000014</v>
      </c>
      <c r="H437" s="283">
        <f t="shared" si="160"/>
        <v>5758628.0300000003</v>
      </c>
      <c r="I437" s="283">
        <f t="shared" si="160"/>
        <v>3105382.89</v>
      </c>
      <c r="J437" s="283">
        <f t="shared" si="160"/>
        <v>2648621.0900000003</v>
      </c>
      <c r="K437" s="283">
        <f t="shared" si="160"/>
        <v>1324438.2100000002</v>
      </c>
      <c r="L437" s="283">
        <f t="shared" si="160"/>
        <v>2312487.3788384832</v>
      </c>
      <c r="M437" s="283">
        <f t="shared" si="131"/>
        <v>988049.16883848305</v>
      </c>
      <c r="N437" s="284"/>
    </row>
    <row r="438" spans="1:14" s="35" customFormat="1" x14ac:dyDescent="0.2">
      <c r="A438" s="195"/>
      <c r="B438" s="194" t="s">
        <v>37</v>
      </c>
      <c r="C438" s="335">
        <f t="shared" ref="C438:L438" si="161">C137</f>
        <v>1229904.6200000001</v>
      </c>
      <c r="D438" s="335">
        <f t="shared" si="161"/>
        <v>1317903.07</v>
      </c>
      <c r="E438" s="335">
        <f t="shared" si="161"/>
        <v>1350395.6800000002</v>
      </c>
      <c r="F438" s="335">
        <f t="shared" si="161"/>
        <v>1439998.95</v>
      </c>
      <c r="G438" s="335">
        <f t="shared" si="161"/>
        <v>1807588.08</v>
      </c>
      <c r="H438" s="335">
        <f t="shared" si="161"/>
        <v>1743502.49</v>
      </c>
      <c r="I438" s="335">
        <f t="shared" si="161"/>
        <v>1083862.73</v>
      </c>
      <c r="J438" s="335">
        <f t="shared" si="161"/>
        <v>896079.24</v>
      </c>
      <c r="K438" s="335">
        <f t="shared" si="161"/>
        <v>756139.64</v>
      </c>
      <c r="L438" s="335">
        <f t="shared" si="161"/>
        <v>606305.86800000002</v>
      </c>
      <c r="M438" s="335">
        <f t="shared" si="131"/>
        <v>-149833.772</v>
      </c>
      <c r="N438" s="284"/>
    </row>
    <row r="439" spans="1:14" s="35" customFormat="1" ht="12" thickBot="1" x14ac:dyDescent="0.25">
      <c r="A439" s="211"/>
      <c r="B439" s="213" t="s">
        <v>33</v>
      </c>
      <c r="C439" s="283">
        <f t="shared" ref="C439:L439" si="162">C319</f>
        <v>2123550.19</v>
      </c>
      <c r="D439" s="283">
        <f t="shared" si="162"/>
        <v>2433051.4700000002</v>
      </c>
      <c r="E439" s="283">
        <f t="shared" si="162"/>
        <v>2500369.5499999998</v>
      </c>
      <c r="F439" s="283">
        <f t="shared" si="162"/>
        <v>2690777.5</v>
      </c>
      <c r="G439" s="283">
        <f t="shared" si="162"/>
        <v>2925108.31</v>
      </c>
      <c r="H439" s="283">
        <f t="shared" si="162"/>
        <v>3362353.05</v>
      </c>
      <c r="I439" s="283">
        <f t="shared" si="162"/>
        <v>2216218.7999999998</v>
      </c>
      <c r="J439" s="283">
        <f t="shared" si="162"/>
        <v>1875186.47</v>
      </c>
      <c r="K439" s="283">
        <f t="shared" si="162"/>
        <v>1243247.5699999998</v>
      </c>
      <c r="L439" s="283">
        <f t="shared" si="162"/>
        <v>1333636.2810245173</v>
      </c>
      <c r="M439" s="283">
        <f t="shared" si="131"/>
        <v>90388.711024517426</v>
      </c>
      <c r="N439" s="284"/>
    </row>
    <row r="440" spans="1:14" s="35" customFormat="1" ht="12" thickBot="1" x14ac:dyDescent="0.25">
      <c r="A440" s="279"/>
      <c r="B440" s="280" t="s">
        <v>34</v>
      </c>
      <c r="C440" s="281">
        <f t="shared" ref="C440:L440" si="163">C438+C439</f>
        <v>3353454.81</v>
      </c>
      <c r="D440" s="281">
        <f t="shared" si="163"/>
        <v>3750954.54</v>
      </c>
      <c r="E440" s="281">
        <f t="shared" si="163"/>
        <v>3850765.23</v>
      </c>
      <c r="F440" s="281">
        <f t="shared" si="163"/>
        <v>4130776.45</v>
      </c>
      <c r="G440" s="281">
        <f t="shared" si="163"/>
        <v>4732696.3900000006</v>
      </c>
      <c r="H440" s="281">
        <f t="shared" si="163"/>
        <v>5105855.54</v>
      </c>
      <c r="I440" s="281">
        <f t="shared" si="163"/>
        <v>3300081.53</v>
      </c>
      <c r="J440" s="281">
        <f t="shared" si="163"/>
        <v>2771265.71</v>
      </c>
      <c r="K440" s="281">
        <f t="shared" si="163"/>
        <v>1999387.21</v>
      </c>
      <c r="L440" s="281">
        <f t="shared" si="163"/>
        <v>1939942.1490245173</v>
      </c>
      <c r="M440" s="281">
        <f t="shared" si="131"/>
        <v>-59445.060975482687</v>
      </c>
      <c r="N440" s="282"/>
    </row>
    <row r="441" spans="1:14" s="35" customFormat="1" ht="12" thickBot="1" x14ac:dyDescent="0.25">
      <c r="A441" s="302"/>
      <c r="B441" s="303" t="s">
        <v>35</v>
      </c>
      <c r="C441" s="336">
        <f t="shared" ref="C441:L441" si="164">C322</f>
        <v>1516299.8300000015</v>
      </c>
      <c r="D441" s="336">
        <f t="shared" si="164"/>
        <v>563994.5299999998</v>
      </c>
      <c r="E441" s="336">
        <f t="shared" si="164"/>
        <v>1030456.600000001</v>
      </c>
      <c r="F441" s="336">
        <f t="shared" si="164"/>
        <v>1253759.5399999991</v>
      </c>
      <c r="G441" s="336">
        <f t="shared" si="164"/>
        <v>1479900.3400000012</v>
      </c>
      <c r="H441" s="336">
        <f t="shared" si="164"/>
        <v>652772.49000000022</v>
      </c>
      <c r="I441" s="336">
        <f t="shared" si="164"/>
        <v>-194698.63999999966</v>
      </c>
      <c r="J441" s="336">
        <f t="shared" si="164"/>
        <v>-122644.61999999965</v>
      </c>
      <c r="K441" s="336">
        <f t="shared" si="164"/>
        <v>-674948.99999999965</v>
      </c>
      <c r="L441" s="336">
        <f t="shared" si="164"/>
        <v>372545.22981396562</v>
      </c>
      <c r="M441" s="336">
        <f t="shared" si="131"/>
        <v>1047494.2298139653</v>
      </c>
      <c r="N441" s="284"/>
    </row>
    <row r="442" spans="1:14" s="35" customFormat="1" ht="12" thickTop="1" x14ac:dyDescent="0.2">
      <c r="A442" s="195"/>
      <c r="B442" s="194"/>
      <c r="C442" s="274"/>
      <c r="D442" s="274"/>
      <c r="E442" s="274"/>
      <c r="F442" s="274"/>
      <c r="G442" s="274"/>
      <c r="H442" s="274"/>
      <c r="I442" s="274"/>
      <c r="J442" s="274"/>
      <c r="K442" s="274"/>
      <c r="L442" s="274"/>
      <c r="M442" s="274"/>
      <c r="N442" s="274"/>
    </row>
    <row r="443" spans="1:14" s="35" customFormat="1" x14ac:dyDescent="0.2">
      <c r="A443" s="195"/>
      <c r="B443" s="194"/>
      <c r="C443" s="274"/>
      <c r="D443" s="274"/>
      <c r="E443" s="274"/>
      <c r="F443" s="274"/>
      <c r="G443" s="274"/>
      <c r="H443" s="274"/>
      <c r="I443" s="274"/>
      <c r="J443" s="274"/>
      <c r="K443" s="274"/>
      <c r="L443" s="274"/>
      <c r="M443" s="274"/>
      <c r="N443" s="274"/>
    </row>
    <row r="444" spans="1:14" s="35" customFormat="1" ht="12" thickBot="1" x14ac:dyDescent="0.25">
      <c r="A444" s="211"/>
      <c r="B444" s="275" t="s">
        <v>40</v>
      </c>
      <c r="C444" s="325">
        <f t="shared" ref="C444:L444" si="165">+C8</f>
        <v>2003</v>
      </c>
      <c r="D444" s="325">
        <f t="shared" si="165"/>
        <v>2004</v>
      </c>
      <c r="E444" s="325">
        <f t="shared" si="165"/>
        <v>2005</v>
      </c>
      <c r="F444" s="325">
        <f t="shared" si="165"/>
        <v>2006</v>
      </c>
      <c r="G444" s="325">
        <f t="shared" si="165"/>
        <v>2007</v>
      </c>
      <c r="H444" s="325">
        <f t="shared" si="165"/>
        <v>2008</v>
      </c>
      <c r="I444" s="325">
        <f t="shared" si="165"/>
        <v>2009</v>
      </c>
      <c r="J444" s="325">
        <f t="shared" si="165"/>
        <v>2010</v>
      </c>
      <c r="K444" s="325">
        <f t="shared" si="165"/>
        <v>2011</v>
      </c>
      <c r="L444" s="325" t="str">
        <f t="shared" si="165"/>
        <v>Plan2012</v>
      </c>
      <c r="M444" s="326">
        <f>+M32</f>
        <v>16558.133621163426</v>
      </c>
      <c r="N444" s="329"/>
    </row>
    <row r="445" spans="1:14" s="35" customFormat="1" x14ac:dyDescent="0.2">
      <c r="A445" s="195"/>
      <c r="B445" s="194" t="s">
        <v>194</v>
      </c>
      <c r="C445" s="335">
        <f t="shared" ref="C445:L445" si="166">C437/C397</f>
        <v>115728.79535083829</v>
      </c>
      <c r="D445" s="335">
        <f t="shared" si="166"/>
        <v>98665.355527950305</v>
      </c>
      <c r="E445" s="335">
        <f t="shared" si="166"/>
        <v>104027.50914569174</v>
      </c>
      <c r="F445" s="335">
        <f t="shared" si="166"/>
        <v>116735.48345588768</v>
      </c>
      <c r="G445" s="335">
        <f t="shared" si="166"/>
        <v>123311.74162743833</v>
      </c>
      <c r="H445" s="335">
        <f t="shared" si="166"/>
        <v>105706.39182799842</v>
      </c>
      <c r="I445" s="335">
        <f t="shared" si="166"/>
        <v>91628.905156540379</v>
      </c>
      <c r="J445" s="335">
        <f t="shared" si="166"/>
        <v>95112.942702254761</v>
      </c>
      <c r="K445" s="335">
        <f t="shared" si="166"/>
        <v>65799.591009625728</v>
      </c>
      <c r="L445" s="335">
        <f t="shared" si="166"/>
        <v>124103.17354684198</v>
      </c>
      <c r="M445" s="335">
        <f t="shared" si="131"/>
        <v>58303.582537216251</v>
      </c>
      <c r="N445" s="284"/>
    </row>
    <row r="446" spans="1:14" s="35" customFormat="1" ht="12" thickBot="1" x14ac:dyDescent="0.25">
      <c r="A446" s="228"/>
      <c r="B446" s="287" t="s">
        <v>193</v>
      </c>
      <c r="C446" s="336">
        <f t="shared" ref="C446:L446" si="167">C437/C393</f>
        <v>158225.53706362919</v>
      </c>
      <c r="D446" s="336">
        <f t="shared" si="167"/>
        <v>134575.27238049541</v>
      </c>
      <c r="E446" s="336">
        <f t="shared" si="167"/>
        <v>136218.32347923715</v>
      </c>
      <c r="F446" s="336">
        <f t="shared" si="167"/>
        <v>154412.2611572427</v>
      </c>
      <c r="G446" s="336">
        <f t="shared" si="167"/>
        <v>160063.94181091289</v>
      </c>
      <c r="H446" s="336">
        <f t="shared" si="167"/>
        <v>136268.11270411848</v>
      </c>
      <c r="I446" s="336">
        <f t="shared" si="167"/>
        <v>123812.92359830551</v>
      </c>
      <c r="J446" s="336">
        <f t="shared" si="167"/>
        <v>127576.40430725056</v>
      </c>
      <c r="K446" s="336">
        <f t="shared" si="167"/>
        <v>81496.656415111094</v>
      </c>
      <c r="L446" s="336">
        <f t="shared" si="167"/>
        <v>159607.92762267718</v>
      </c>
      <c r="M446" s="336">
        <f t="shared" si="131"/>
        <v>78111.271207566082</v>
      </c>
      <c r="N446" s="284"/>
    </row>
    <row r="447" spans="1:14" s="35" customFormat="1" ht="12" thickTop="1" x14ac:dyDescent="0.2">
      <c r="A447" s="195"/>
      <c r="B447" s="194"/>
      <c r="C447" s="274"/>
      <c r="D447" s="274"/>
      <c r="E447" s="274"/>
      <c r="F447" s="274"/>
      <c r="G447" s="274"/>
      <c r="H447" s="274"/>
      <c r="I447" s="274"/>
      <c r="J447" s="274"/>
      <c r="K447" s="274"/>
      <c r="L447" s="274"/>
      <c r="M447" s="274"/>
      <c r="N447" s="274"/>
    </row>
    <row r="448" spans="1:14" s="35" customFormat="1" x14ac:dyDescent="0.2">
      <c r="A448" s="195"/>
      <c r="B448" s="194"/>
      <c r="C448" s="305"/>
      <c r="D448" s="305"/>
      <c r="E448" s="305"/>
      <c r="F448" s="305"/>
      <c r="G448" s="305"/>
      <c r="H448" s="305"/>
      <c r="I448" s="305"/>
      <c r="J448" s="305"/>
      <c r="K448" s="305"/>
      <c r="L448" s="305"/>
      <c r="M448" s="305"/>
      <c r="N448" s="305"/>
    </row>
    <row r="449" spans="1:14" s="35" customFormat="1" ht="12" thickBot="1" x14ac:dyDescent="0.25">
      <c r="A449" s="211"/>
      <c r="B449" s="275" t="s">
        <v>41</v>
      </c>
      <c r="C449" s="337">
        <f t="shared" ref="C449:L449" si="168">+C8</f>
        <v>2003</v>
      </c>
      <c r="D449" s="337">
        <f t="shared" si="168"/>
        <v>2004</v>
      </c>
      <c r="E449" s="337">
        <f t="shared" si="168"/>
        <v>2005</v>
      </c>
      <c r="F449" s="337">
        <f t="shared" si="168"/>
        <v>2006</v>
      </c>
      <c r="G449" s="337">
        <f t="shared" si="168"/>
        <v>2007</v>
      </c>
      <c r="H449" s="337">
        <f t="shared" si="168"/>
        <v>2008</v>
      </c>
      <c r="I449" s="337">
        <f t="shared" si="168"/>
        <v>2009</v>
      </c>
      <c r="J449" s="337">
        <f t="shared" si="168"/>
        <v>2010</v>
      </c>
      <c r="K449" s="337">
        <f t="shared" si="168"/>
        <v>2011</v>
      </c>
      <c r="L449" s="337" t="str">
        <f t="shared" si="168"/>
        <v>Plan2012</v>
      </c>
      <c r="M449" s="326"/>
      <c r="N449" s="338"/>
    </row>
    <row r="450" spans="1:14" s="35" customFormat="1" x14ac:dyDescent="0.2">
      <c r="A450" s="195"/>
      <c r="B450" s="194" t="s">
        <v>194</v>
      </c>
      <c r="C450" s="335">
        <f t="shared" ref="C450:L450" si="169">C441/C397</f>
        <v>36034.57785638683</v>
      </c>
      <c r="D450" s="335">
        <f t="shared" si="169"/>
        <v>12896.263644258775</v>
      </c>
      <c r="E450" s="335">
        <f t="shared" si="169"/>
        <v>21960.860848796641</v>
      </c>
      <c r="F450" s="335">
        <f t="shared" si="169"/>
        <v>27181.214186541496</v>
      </c>
      <c r="G450" s="335">
        <f t="shared" si="169"/>
        <v>29374.043784174326</v>
      </c>
      <c r="H450" s="335">
        <f t="shared" si="169"/>
        <v>11982.406962735915</v>
      </c>
      <c r="I450" s="335">
        <f t="shared" si="169"/>
        <v>-5744.8707134041588</v>
      </c>
      <c r="J450" s="335">
        <f t="shared" si="169"/>
        <v>-4404.2127274610557</v>
      </c>
      <c r="K450" s="335">
        <f t="shared" si="169"/>
        <v>-33532.23111280959</v>
      </c>
      <c r="L450" s="335">
        <f t="shared" si="169"/>
        <v>19993.209793375459</v>
      </c>
      <c r="M450" s="335">
        <f t="shared" si="131"/>
        <v>53525.440906185046</v>
      </c>
      <c r="N450" s="284"/>
    </row>
    <row r="451" spans="1:14" s="35" customFormat="1" ht="12" thickBot="1" x14ac:dyDescent="0.25">
      <c r="A451" s="228"/>
      <c r="B451" s="287" t="s">
        <v>193</v>
      </c>
      <c r="C451" s="336">
        <f t="shared" ref="C451:L451" si="170">C441/C393</f>
        <v>49266.826090285278</v>
      </c>
      <c r="D451" s="336">
        <f t="shared" si="170"/>
        <v>17589.945156840393</v>
      </c>
      <c r="E451" s="336">
        <f t="shared" si="170"/>
        <v>28756.544029082772</v>
      </c>
      <c r="F451" s="336">
        <f t="shared" si="170"/>
        <v>35954.04429989971</v>
      </c>
      <c r="G451" s="336">
        <f t="shared" si="170"/>
        <v>38128.771623602603</v>
      </c>
      <c r="H451" s="336">
        <f t="shared" si="170"/>
        <v>15446.747866690755</v>
      </c>
      <c r="I451" s="336">
        <f t="shared" si="170"/>
        <v>-7762.7167704958747</v>
      </c>
      <c r="J451" s="336">
        <f t="shared" si="170"/>
        <v>-5907.436018803679</v>
      </c>
      <c r="K451" s="336">
        <f t="shared" si="170"/>
        <v>-41531.636836967111</v>
      </c>
      <c r="L451" s="336">
        <f t="shared" si="170"/>
        <v>25713.079613081925</v>
      </c>
      <c r="M451" s="336">
        <f t="shared" si="131"/>
        <v>67244.716450049033</v>
      </c>
      <c r="N451" s="284"/>
    </row>
    <row r="452" spans="1:14" s="35" customFormat="1" ht="12" thickTop="1" x14ac:dyDescent="0.2">
      <c r="A452" s="195"/>
      <c r="B452" s="194"/>
      <c r="C452" s="274"/>
      <c r="D452" s="274"/>
      <c r="E452" s="274"/>
      <c r="F452" s="274"/>
      <c r="G452" s="274"/>
      <c r="H452" s="274"/>
      <c r="I452" s="274"/>
      <c r="J452" s="274"/>
      <c r="K452" s="274"/>
      <c r="L452" s="274"/>
      <c r="M452" s="274">
        <f t="shared" si="131"/>
        <v>0</v>
      </c>
      <c r="N452" s="274"/>
    </row>
    <row r="453" spans="1:14" s="35" customFormat="1" ht="12" thickBot="1" x14ac:dyDescent="0.25">
      <c r="A453" s="211"/>
      <c r="B453" s="213"/>
      <c r="C453" s="325">
        <f t="shared" ref="C453:L453" si="171">+C8</f>
        <v>2003</v>
      </c>
      <c r="D453" s="325">
        <f t="shared" si="171"/>
        <v>2004</v>
      </c>
      <c r="E453" s="325">
        <f t="shared" si="171"/>
        <v>2005</v>
      </c>
      <c r="F453" s="325">
        <f t="shared" si="171"/>
        <v>2006</v>
      </c>
      <c r="G453" s="325">
        <f t="shared" si="171"/>
        <v>2007</v>
      </c>
      <c r="H453" s="325">
        <f t="shared" si="171"/>
        <v>2008</v>
      </c>
      <c r="I453" s="325">
        <f t="shared" si="171"/>
        <v>2009</v>
      </c>
      <c r="J453" s="325">
        <f t="shared" si="171"/>
        <v>2010</v>
      </c>
      <c r="K453" s="325">
        <f t="shared" si="171"/>
        <v>2011</v>
      </c>
      <c r="L453" s="325" t="str">
        <f t="shared" si="171"/>
        <v>Plan2012</v>
      </c>
      <c r="M453" s="326"/>
      <c r="N453" s="329"/>
    </row>
    <row r="454" spans="1:14" s="35" customFormat="1" ht="12" thickBot="1" x14ac:dyDescent="0.25">
      <c r="A454" s="211"/>
      <c r="B454" s="275" t="s">
        <v>42</v>
      </c>
      <c r="C454" s="339">
        <f t="shared" ref="C454:L454" si="172">C455*C456</f>
        <v>2.2517917547373929</v>
      </c>
      <c r="D454" s="339">
        <f t="shared" si="172"/>
        <v>1.8265933817181548</v>
      </c>
      <c r="E454" s="339">
        <f t="shared" si="172"/>
        <v>1.9461480881138173</v>
      </c>
      <c r="F454" s="339">
        <f t="shared" si="172"/>
        <v>2.0244180252524995</v>
      </c>
      <c r="G454" s="339">
        <f t="shared" si="172"/>
        <v>2.082782962244405</v>
      </c>
      <c r="H454" s="339">
        <f t="shared" si="172"/>
        <v>1.7263375186446903</v>
      </c>
      <c r="I454" s="339">
        <f t="shared" si="172"/>
        <v>1.5096736051056048</v>
      </c>
      <c r="J454" s="339">
        <f t="shared" si="172"/>
        <v>1.5560740867728531</v>
      </c>
      <c r="K454" s="339">
        <f t="shared" si="172"/>
        <v>1.1000494792033939</v>
      </c>
      <c r="L454" s="339">
        <f t="shared" si="172"/>
        <v>1.8545297279634247</v>
      </c>
      <c r="M454" s="339">
        <f t="shared" si="131"/>
        <v>0.75448024876003084</v>
      </c>
      <c r="N454" s="340"/>
    </row>
    <row r="455" spans="1:14" s="35" customFormat="1" x14ac:dyDescent="0.2">
      <c r="A455" s="195"/>
      <c r="B455" s="194" t="s">
        <v>43</v>
      </c>
      <c r="C455" s="341">
        <f t="shared" ref="C455:L455" si="173">C427</f>
        <v>3.9594571487990677</v>
      </c>
      <c r="D455" s="341">
        <f t="shared" si="173"/>
        <v>3.2741019944661027</v>
      </c>
      <c r="E455" s="341">
        <f t="shared" si="173"/>
        <v>3.6146604304895291</v>
      </c>
      <c r="F455" s="341">
        <f t="shared" si="173"/>
        <v>3.7392638307132096</v>
      </c>
      <c r="G455" s="341">
        <f t="shared" si="173"/>
        <v>3.436953805316088</v>
      </c>
      <c r="H455" s="341">
        <f t="shared" si="173"/>
        <v>3.3029078323828491</v>
      </c>
      <c r="I455" s="341">
        <f t="shared" si="173"/>
        <v>2.8651071801315653</v>
      </c>
      <c r="J455" s="341">
        <f t="shared" si="173"/>
        <v>2.9557889210780068</v>
      </c>
      <c r="K455" s="341">
        <f t="shared" si="173"/>
        <v>1.7515788618091761</v>
      </c>
      <c r="L455" s="341">
        <f t="shared" si="173"/>
        <v>3.8140606926114775</v>
      </c>
      <c r="M455" s="341">
        <f t="shared" si="131"/>
        <v>2.0624818308023016</v>
      </c>
      <c r="N455" s="342"/>
    </row>
    <row r="456" spans="1:14" s="321" customFormat="1" ht="12" thickBot="1" x14ac:dyDescent="0.25">
      <c r="A456" s="228"/>
      <c r="B456" s="287" t="s">
        <v>44</v>
      </c>
      <c r="C456" s="310">
        <f t="shared" ref="C456:L456" si="174">C410</f>
        <v>0.56871224264174136</v>
      </c>
      <c r="D456" s="310">
        <f t="shared" si="174"/>
        <v>0.55789141108171603</v>
      </c>
      <c r="E456" s="310">
        <f t="shared" si="174"/>
        <v>0.53840412551567196</v>
      </c>
      <c r="F456" s="310">
        <f t="shared" si="174"/>
        <v>0.54139480841777654</v>
      </c>
      <c r="G456" s="310">
        <f t="shared" si="174"/>
        <v>0.60599678675426849</v>
      </c>
      <c r="H456" s="310">
        <f t="shared" si="174"/>
        <v>0.52267202303348614</v>
      </c>
      <c r="I456" s="310">
        <f t="shared" si="174"/>
        <v>0.52691697384817582</v>
      </c>
      <c r="J456" s="310">
        <f t="shared" si="174"/>
        <v>0.52644966481751909</v>
      </c>
      <c r="K456" s="310">
        <f t="shared" si="174"/>
        <v>0.62803308671307634</v>
      </c>
      <c r="L456" s="310">
        <f t="shared" si="174"/>
        <v>0.4862349808842798</v>
      </c>
      <c r="M456" s="310">
        <f t="shared" si="131"/>
        <v>-0.14179810582879654</v>
      </c>
      <c r="N456" s="308"/>
    </row>
    <row r="457" spans="1:14" s="321" customFormat="1" ht="12" thickTop="1" x14ac:dyDescent="0.2">
      <c r="A457" s="195"/>
      <c r="B457" s="194" t="s">
        <v>844</v>
      </c>
      <c r="C457" s="343">
        <f t="shared" ref="C457:L457" si="175">+C459-C458</f>
        <v>0.40179175473739326</v>
      </c>
      <c r="D457" s="343">
        <f t="shared" si="175"/>
        <v>-2.3406618281845093E-2</v>
      </c>
      <c r="E457" s="343">
        <f t="shared" si="175"/>
        <v>9.6148088113817254E-2</v>
      </c>
      <c r="F457" s="343">
        <f t="shared" si="175"/>
        <v>0.17441802525249939</v>
      </c>
      <c r="G457" s="343">
        <f t="shared" si="175"/>
        <v>-0.76721703775559513</v>
      </c>
      <c r="H457" s="343">
        <f t="shared" si="175"/>
        <v>1.7263375186446905</v>
      </c>
      <c r="I457" s="343">
        <f t="shared" si="175"/>
        <v>1.5096736051056048</v>
      </c>
      <c r="J457" s="343">
        <f t="shared" si="175"/>
        <v>1.5560740867728531</v>
      </c>
      <c r="K457" s="343">
        <f t="shared" si="175"/>
        <v>1.1000494792033939</v>
      </c>
      <c r="L457" s="343">
        <f t="shared" si="175"/>
        <v>0</v>
      </c>
      <c r="M457" s="343">
        <f t="shared" si="131"/>
        <v>-1.1000494792033939</v>
      </c>
      <c r="N457" s="343"/>
    </row>
    <row r="458" spans="1:14" s="345" customFormat="1" x14ac:dyDescent="0.2">
      <c r="A458" s="195"/>
      <c r="B458" s="194" t="s">
        <v>843</v>
      </c>
      <c r="C458" s="344">
        <v>1.85</v>
      </c>
      <c r="D458" s="344">
        <v>1.85</v>
      </c>
      <c r="E458" s="344">
        <v>1.85</v>
      </c>
      <c r="F458" s="344">
        <v>1.85</v>
      </c>
      <c r="G458" s="344">
        <v>2.85</v>
      </c>
      <c r="H458" s="344"/>
      <c r="I458" s="344"/>
      <c r="J458" s="344"/>
      <c r="K458" s="344"/>
      <c r="L458" s="344">
        <f>+L459</f>
        <v>1.8545297279634247</v>
      </c>
      <c r="M458" s="344">
        <f t="shared" si="131"/>
        <v>1.8545297279634247</v>
      </c>
      <c r="N458" s="344"/>
    </row>
    <row r="459" spans="1:14" s="321" customFormat="1" ht="12" thickBot="1" x14ac:dyDescent="0.25">
      <c r="A459" s="211"/>
      <c r="B459" s="213" t="s">
        <v>842</v>
      </c>
      <c r="C459" s="346">
        <f t="shared" ref="C459:L459" si="176">C460/C461</f>
        <v>2.2517917547373933</v>
      </c>
      <c r="D459" s="346">
        <f t="shared" si="176"/>
        <v>1.826593381718155</v>
      </c>
      <c r="E459" s="346">
        <f t="shared" si="176"/>
        <v>1.9461480881138173</v>
      </c>
      <c r="F459" s="346">
        <f t="shared" si="176"/>
        <v>2.0244180252524995</v>
      </c>
      <c r="G459" s="346">
        <f t="shared" si="176"/>
        <v>2.082782962244405</v>
      </c>
      <c r="H459" s="346">
        <f t="shared" si="176"/>
        <v>1.7263375186446905</v>
      </c>
      <c r="I459" s="346">
        <f t="shared" si="176"/>
        <v>1.5096736051056048</v>
      </c>
      <c r="J459" s="346">
        <f t="shared" si="176"/>
        <v>1.5560740867728531</v>
      </c>
      <c r="K459" s="346">
        <f t="shared" si="176"/>
        <v>1.1000494792033939</v>
      </c>
      <c r="L459" s="346">
        <f t="shared" si="176"/>
        <v>1.8545297279634247</v>
      </c>
      <c r="M459" s="346">
        <f t="shared" ref="M459:M521" si="177">+L459-K459</f>
        <v>0.75448024876003084</v>
      </c>
      <c r="N459" s="344"/>
    </row>
    <row r="460" spans="1:14" s="321" customFormat="1" x14ac:dyDescent="0.2">
      <c r="A460" s="195"/>
      <c r="B460" s="194" t="s">
        <v>841</v>
      </c>
      <c r="C460" s="284">
        <f t="shared" ref="C460:L460" si="178">C131</f>
        <v>4869754.6400000015</v>
      </c>
      <c r="D460" s="284">
        <f t="shared" si="178"/>
        <v>4314949.07</v>
      </c>
      <c r="E460" s="284">
        <f t="shared" si="178"/>
        <v>4881221.830000001</v>
      </c>
      <c r="F460" s="284">
        <f t="shared" si="178"/>
        <v>5384535.9899999993</v>
      </c>
      <c r="G460" s="284">
        <f t="shared" si="178"/>
        <v>6212596.7300000014</v>
      </c>
      <c r="H460" s="284">
        <f t="shared" si="178"/>
        <v>5758628.0300000003</v>
      </c>
      <c r="I460" s="284">
        <f t="shared" si="178"/>
        <v>3105382.89</v>
      </c>
      <c r="J460" s="284">
        <f t="shared" si="178"/>
        <v>2648621.0900000003</v>
      </c>
      <c r="K460" s="284">
        <f t="shared" si="178"/>
        <v>1324438.2100000002</v>
      </c>
      <c r="L460" s="284">
        <f t="shared" si="178"/>
        <v>2312487.3788384832</v>
      </c>
      <c r="M460" s="284">
        <f t="shared" si="177"/>
        <v>988049.16883848305</v>
      </c>
      <c r="N460" s="284"/>
    </row>
    <row r="461" spans="1:14" s="321" customFormat="1" ht="12" thickBot="1" x14ac:dyDescent="0.25">
      <c r="A461" s="228"/>
      <c r="B461" s="287" t="s">
        <v>840</v>
      </c>
      <c r="C461" s="336">
        <f t="shared" ref="C461:L461" si="179">C137+C152+C159</f>
        <v>2162613.23</v>
      </c>
      <c r="D461" s="336">
        <f t="shared" si="179"/>
        <v>2362293.17</v>
      </c>
      <c r="E461" s="336">
        <f t="shared" si="179"/>
        <v>2508145.12</v>
      </c>
      <c r="F461" s="336">
        <f t="shared" si="179"/>
        <v>2659794.5299999998</v>
      </c>
      <c r="G461" s="336">
        <f t="shared" si="179"/>
        <v>2982834.43</v>
      </c>
      <c r="H461" s="336">
        <f t="shared" si="179"/>
        <v>3335748.6399999997</v>
      </c>
      <c r="I461" s="336">
        <f t="shared" si="179"/>
        <v>2056989.59</v>
      </c>
      <c r="J461" s="336">
        <f t="shared" si="179"/>
        <v>1702117.5999999999</v>
      </c>
      <c r="K461" s="336">
        <f t="shared" si="179"/>
        <v>1203980.58</v>
      </c>
      <c r="L461" s="336">
        <f t="shared" si="179"/>
        <v>1246940.0430576922</v>
      </c>
      <c r="M461" s="336">
        <f t="shared" si="177"/>
        <v>42959.463057692163</v>
      </c>
      <c r="N461" s="284"/>
    </row>
    <row r="462" spans="1:14" s="321" customFormat="1" ht="12" thickTop="1" x14ac:dyDescent="0.2">
      <c r="A462" s="195"/>
      <c r="B462" s="194" t="s">
        <v>839</v>
      </c>
      <c r="C462" s="284">
        <f t="shared" ref="C462:L462" si="180">+C460/C458</f>
        <v>2632299.8054054063</v>
      </c>
      <c r="D462" s="284">
        <f t="shared" si="180"/>
        <v>2332404.9027027027</v>
      </c>
      <c r="E462" s="284">
        <f t="shared" si="180"/>
        <v>2638498.2864864869</v>
      </c>
      <c r="F462" s="284">
        <f t="shared" si="180"/>
        <v>2910559.994594594</v>
      </c>
      <c r="G462" s="284">
        <f t="shared" si="180"/>
        <v>2179858.5017543864</v>
      </c>
      <c r="H462" s="284" t="e">
        <f t="shared" si="180"/>
        <v>#DIV/0!</v>
      </c>
      <c r="I462" s="284" t="e">
        <f t="shared" si="180"/>
        <v>#DIV/0!</v>
      </c>
      <c r="J462" s="284" t="e">
        <f t="shared" si="180"/>
        <v>#DIV/0!</v>
      </c>
      <c r="K462" s="284" t="e">
        <f t="shared" si="180"/>
        <v>#DIV/0!</v>
      </c>
      <c r="L462" s="284">
        <f t="shared" si="180"/>
        <v>1246940.0430576922</v>
      </c>
      <c r="M462" s="284" t="e">
        <f t="shared" si="177"/>
        <v>#DIV/0!</v>
      </c>
      <c r="N462" s="284"/>
    </row>
    <row r="463" spans="1:14" s="321" customFormat="1" x14ac:dyDescent="0.2">
      <c r="A463" s="195"/>
      <c r="B463" s="194" t="s">
        <v>838</v>
      </c>
      <c r="C463" s="284">
        <f t="shared" ref="C463:L463" si="181">+C458*C461</f>
        <v>4000834.4755000002</v>
      </c>
      <c r="D463" s="284">
        <f t="shared" si="181"/>
        <v>4370242.3645000001</v>
      </c>
      <c r="E463" s="284">
        <f t="shared" si="181"/>
        <v>4640068.4720000001</v>
      </c>
      <c r="F463" s="284">
        <f t="shared" si="181"/>
        <v>4920619.8805</v>
      </c>
      <c r="G463" s="284">
        <f t="shared" si="181"/>
        <v>8501078.125500001</v>
      </c>
      <c r="H463" s="284">
        <f t="shared" si="181"/>
        <v>0</v>
      </c>
      <c r="I463" s="284">
        <f t="shared" si="181"/>
        <v>0</v>
      </c>
      <c r="J463" s="284">
        <f t="shared" si="181"/>
        <v>0</v>
      </c>
      <c r="K463" s="284">
        <f t="shared" si="181"/>
        <v>0</v>
      </c>
      <c r="L463" s="284">
        <f t="shared" si="181"/>
        <v>2312487.3788384832</v>
      </c>
      <c r="M463" s="284">
        <f t="shared" si="177"/>
        <v>2312487.3788384832</v>
      </c>
      <c r="N463" s="284"/>
    </row>
    <row r="464" spans="1:14" s="321" customFormat="1" ht="12" thickBot="1" x14ac:dyDescent="0.25">
      <c r="A464" s="211"/>
      <c r="B464" s="213" t="s">
        <v>46</v>
      </c>
      <c r="C464" s="347"/>
      <c r="D464" s="347"/>
      <c r="E464" s="347"/>
      <c r="F464" s="347"/>
      <c r="G464" s="347"/>
      <c r="H464" s="347"/>
      <c r="I464" s="347"/>
      <c r="J464" s="347"/>
      <c r="K464" s="347"/>
      <c r="L464" s="347"/>
      <c r="M464" s="347"/>
      <c r="N464" s="12"/>
    </row>
    <row r="465" spans="1:14" s="321" customFormat="1" x14ac:dyDescent="0.2">
      <c r="A465" s="195"/>
      <c r="B465" s="194" t="s">
        <v>837</v>
      </c>
      <c r="C465" s="284">
        <f t="shared" ref="C465:K465" si="182">+C460-C463</f>
        <v>868920.16450000135</v>
      </c>
      <c r="D465" s="284">
        <f t="shared" si="182"/>
        <v>-55293.294499999844</v>
      </c>
      <c r="E465" s="284">
        <f t="shared" si="182"/>
        <v>241153.35800000094</v>
      </c>
      <c r="F465" s="284">
        <f t="shared" si="182"/>
        <v>463916.10949999932</v>
      </c>
      <c r="G465" s="284">
        <f t="shared" si="182"/>
        <v>-2288481.3954999996</v>
      </c>
      <c r="H465" s="284">
        <f t="shared" si="182"/>
        <v>5758628.0300000003</v>
      </c>
      <c r="I465" s="284">
        <f t="shared" si="182"/>
        <v>3105382.89</v>
      </c>
      <c r="J465" s="284">
        <f t="shared" si="182"/>
        <v>2648621.0900000003</v>
      </c>
      <c r="K465" s="284">
        <f t="shared" si="182"/>
        <v>1324438.2100000002</v>
      </c>
      <c r="L465" s="284">
        <v>-232341</v>
      </c>
      <c r="M465" s="284">
        <f t="shared" si="177"/>
        <v>-1556779.2100000002</v>
      </c>
      <c r="N465" s="284"/>
    </row>
    <row r="466" spans="1:14" s="321" customFormat="1" ht="12" thickBot="1" x14ac:dyDescent="0.25">
      <c r="A466" s="228"/>
      <c r="B466" s="287" t="s">
        <v>836</v>
      </c>
      <c r="C466" s="336">
        <f t="shared" ref="C466:K466" si="183">+C461-C462</f>
        <v>-469686.5754054063</v>
      </c>
      <c r="D466" s="336">
        <f t="shared" si="183"/>
        <v>29888.26729729725</v>
      </c>
      <c r="E466" s="336">
        <f t="shared" si="183"/>
        <v>-130353.16648648679</v>
      </c>
      <c r="F466" s="336">
        <f t="shared" si="183"/>
        <v>-250765.4645945942</v>
      </c>
      <c r="G466" s="336">
        <f t="shared" si="183"/>
        <v>802975.92824561382</v>
      </c>
      <c r="H466" s="336" t="e">
        <f t="shared" si="183"/>
        <v>#DIV/0!</v>
      </c>
      <c r="I466" s="336" t="e">
        <f t="shared" si="183"/>
        <v>#DIV/0!</v>
      </c>
      <c r="J466" s="336" t="e">
        <f t="shared" si="183"/>
        <v>#DIV/0!</v>
      </c>
      <c r="K466" s="336" t="e">
        <f t="shared" si="183"/>
        <v>#DIV/0!</v>
      </c>
      <c r="L466" s="336">
        <v>115881</v>
      </c>
      <c r="M466" s="336" t="e">
        <f t="shared" si="177"/>
        <v>#DIV/0!</v>
      </c>
      <c r="N466" s="284"/>
    </row>
    <row r="467" spans="1:14" s="321" customFormat="1" ht="12" thickTop="1" x14ac:dyDescent="0.2">
      <c r="A467" s="195"/>
      <c r="B467" s="194"/>
      <c r="C467" s="331"/>
      <c r="D467" s="331"/>
      <c r="E467" s="331"/>
      <c r="F467" s="331"/>
      <c r="G467" s="331"/>
      <c r="H467" s="331"/>
      <c r="I467" s="331"/>
      <c r="J467" s="331"/>
      <c r="K467" s="331"/>
      <c r="L467" s="331"/>
      <c r="M467" s="331"/>
      <c r="N467" s="331"/>
    </row>
    <row r="468" spans="1:14" s="321" customFormat="1" x14ac:dyDescent="0.2">
      <c r="A468" s="195"/>
      <c r="B468" s="194"/>
      <c r="C468" s="331"/>
      <c r="D468" s="331"/>
      <c r="E468" s="331"/>
      <c r="F468" s="331"/>
      <c r="G468" s="331"/>
      <c r="H468" s="331"/>
      <c r="I468" s="331"/>
      <c r="J468" s="331"/>
      <c r="K468" s="331"/>
      <c r="L468" s="331"/>
      <c r="M468" s="331"/>
      <c r="N468" s="331"/>
    </row>
    <row r="469" spans="1:14" s="35" customFormat="1" ht="12" thickBot="1" x14ac:dyDescent="0.25">
      <c r="A469" s="211"/>
      <c r="B469" s="213" t="s">
        <v>47</v>
      </c>
      <c r="C469" s="348">
        <f t="shared" ref="C469:L469" si="184">C470/C471</f>
        <v>0.44409079920297573</v>
      </c>
      <c r="D469" s="348">
        <f t="shared" si="184"/>
        <v>0.54746721958412359</v>
      </c>
      <c r="E469" s="348">
        <f t="shared" si="184"/>
        <v>0.51383551236801706</v>
      </c>
      <c r="F469" s="348">
        <f t="shared" si="184"/>
        <v>0.49396912471932425</v>
      </c>
      <c r="G469" s="348">
        <f t="shared" si="184"/>
        <v>0.48012683900697983</v>
      </c>
      <c r="H469" s="348">
        <f t="shared" si="184"/>
        <v>0.57926100151323712</v>
      </c>
      <c r="I469" s="348">
        <f t="shared" si="184"/>
        <v>0.66239483595531756</v>
      </c>
      <c r="J469" s="348">
        <f t="shared" si="184"/>
        <v>0.64264292330315909</v>
      </c>
      <c r="K469" s="348">
        <f t="shared" si="184"/>
        <v>0.90905001902655758</v>
      </c>
      <c r="L469" s="348">
        <f t="shared" si="184"/>
        <v>0.53922025887293945</v>
      </c>
      <c r="M469" s="348">
        <f t="shared" si="177"/>
        <v>-0.36982976015361813</v>
      </c>
      <c r="N469" s="349"/>
    </row>
    <row r="470" spans="1:14" s="35" customFormat="1" x14ac:dyDescent="0.2">
      <c r="A470" s="195"/>
      <c r="B470" s="194" t="s">
        <v>45</v>
      </c>
      <c r="C470" s="335">
        <f t="shared" ref="C470:L470" si="185">C137+C152+C159</f>
        <v>2162613.23</v>
      </c>
      <c r="D470" s="335">
        <f t="shared" si="185"/>
        <v>2362293.17</v>
      </c>
      <c r="E470" s="335">
        <f t="shared" si="185"/>
        <v>2508145.12</v>
      </c>
      <c r="F470" s="335">
        <f t="shared" si="185"/>
        <v>2659794.5299999998</v>
      </c>
      <c r="G470" s="335">
        <f t="shared" si="185"/>
        <v>2982834.43</v>
      </c>
      <c r="H470" s="335">
        <f t="shared" si="185"/>
        <v>3335748.6399999997</v>
      </c>
      <c r="I470" s="335">
        <f t="shared" si="185"/>
        <v>2056989.59</v>
      </c>
      <c r="J470" s="335">
        <f t="shared" si="185"/>
        <v>1702117.5999999999</v>
      </c>
      <c r="K470" s="335">
        <f t="shared" si="185"/>
        <v>1203980.58</v>
      </c>
      <c r="L470" s="335">
        <f t="shared" si="185"/>
        <v>1246940.0430576922</v>
      </c>
      <c r="M470" s="335">
        <f t="shared" si="177"/>
        <v>42959.463057692163</v>
      </c>
      <c r="N470" s="284"/>
    </row>
    <row r="471" spans="1:14" s="35" customFormat="1" ht="12" thickBot="1" x14ac:dyDescent="0.25">
      <c r="A471" s="228"/>
      <c r="B471" s="287" t="s">
        <v>31</v>
      </c>
      <c r="C471" s="336">
        <f t="shared" ref="C471:L471" si="186">C131</f>
        <v>4869754.6400000015</v>
      </c>
      <c r="D471" s="336">
        <f t="shared" si="186"/>
        <v>4314949.07</v>
      </c>
      <c r="E471" s="336">
        <f t="shared" si="186"/>
        <v>4881221.830000001</v>
      </c>
      <c r="F471" s="336">
        <f t="shared" si="186"/>
        <v>5384535.9899999993</v>
      </c>
      <c r="G471" s="336">
        <f t="shared" si="186"/>
        <v>6212596.7300000014</v>
      </c>
      <c r="H471" s="336">
        <f t="shared" si="186"/>
        <v>5758628.0300000003</v>
      </c>
      <c r="I471" s="336">
        <f t="shared" si="186"/>
        <v>3105382.89</v>
      </c>
      <c r="J471" s="336">
        <f t="shared" si="186"/>
        <v>2648621.0900000003</v>
      </c>
      <c r="K471" s="336">
        <f t="shared" si="186"/>
        <v>1324438.2100000002</v>
      </c>
      <c r="L471" s="336">
        <f t="shared" si="186"/>
        <v>2312487.3788384832</v>
      </c>
      <c r="M471" s="336">
        <f t="shared" si="177"/>
        <v>988049.16883848305</v>
      </c>
      <c r="N471" s="284"/>
    </row>
    <row r="472" spans="1:14" s="35" customFormat="1" ht="12" thickTop="1" x14ac:dyDescent="0.2">
      <c r="A472" s="195"/>
      <c r="B472" s="194"/>
      <c r="C472" s="331"/>
      <c r="D472" s="331"/>
      <c r="E472" s="331"/>
      <c r="F472" s="331"/>
      <c r="G472" s="331"/>
      <c r="H472" s="331"/>
      <c r="I472" s="331"/>
      <c r="J472" s="331"/>
      <c r="K472" s="331"/>
      <c r="L472" s="331"/>
      <c r="M472" s="331"/>
      <c r="N472" s="331"/>
    </row>
    <row r="473" spans="1:14" s="35" customFormat="1" ht="12" thickBot="1" x14ac:dyDescent="0.25">
      <c r="A473" s="228"/>
      <c r="B473" s="287" t="s">
        <v>835</v>
      </c>
      <c r="C473" s="288">
        <f t="shared" ref="C473:L473" si="187">C470/C397</f>
        <v>51394.093218151393</v>
      </c>
      <c r="D473" s="288">
        <f t="shared" si="187"/>
        <v>54016.047860165992</v>
      </c>
      <c r="E473" s="288">
        <f t="shared" si="187"/>
        <v>53453.028462245093</v>
      </c>
      <c r="F473" s="288">
        <f t="shared" si="187"/>
        <v>57663.724586391996</v>
      </c>
      <c r="G473" s="288">
        <f t="shared" si="187"/>
        <v>59205.276720027374</v>
      </c>
      <c r="H473" s="288">
        <f t="shared" si="187"/>
        <v>61231.590396637032</v>
      </c>
      <c r="I473" s="288">
        <f t="shared" si="187"/>
        <v>60694.513599931917</v>
      </c>
      <c r="J473" s="288">
        <f t="shared" si="187"/>
        <v>61123.659542142872</v>
      </c>
      <c r="K473" s="288">
        <f t="shared" si="187"/>
        <v>59815.119459239977</v>
      </c>
      <c r="L473" s="288">
        <f t="shared" si="187"/>
        <v>66918.945366881468</v>
      </c>
      <c r="M473" s="288">
        <f t="shared" si="177"/>
        <v>7103.8259076414906</v>
      </c>
      <c r="N473" s="282"/>
    </row>
    <row r="474" spans="1:14" s="351" customFormat="1" ht="12" thickTop="1" x14ac:dyDescent="0.2">
      <c r="A474" s="195"/>
      <c r="B474" s="194"/>
      <c r="C474" s="350"/>
      <c r="D474" s="350"/>
      <c r="E474" s="350"/>
      <c r="F474" s="350"/>
      <c r="G474" s="350"/>
      <c r="H474" s="350"/>
      <c r="I474" s="350"/>
      <c r="J474" s="350"/>
      <c r="K474" s="350"/>
      <c r="L474" s="350"/>
      <c r="M474" s="350"/>
      <c r="N474" s="350"/>
    </row>
    <row r="475" spans="1:14" s="351" customFormat="1" x14ac:dyDescent="0.2">
      <c r="A475" s="195"/>
      <c r="B475" s="194"/>
      <c r="C475" s="352">
        <f t="shared" ref="C475:L475" si="188">+C473</f>
        <v>51394.093218151393</v>
      </c>
      <c r="D475" s="352">
        <f t="shared" si="188"/>
        <v>54016.047860165992</v>
      </c>
      <c r="E475" s="352">
        <f t="shared" si="188"/>
        <v>53453.028462245093</v>
      </c>
      <c r="F475" s="352">
        <f t="shared" si="188"/>
        <v>57663.724586391996</v>
      </c>
      <c r="G475" s="352">
        <f t="shared" si="188"/>
        <v>59205.276720027374</v>
      </c>
      <c r="H475" s="352">
        <f t="shared" si="188"/>
        <v>61231.590396637032</v>
      </c>
      <c r="I475" s="352">
        <f t="shared" si="188"/>
        <v>60694.513599931917</v>
      </c>
      <c r="J475" s="352">
        <f t="shared" si="188"/>
        <v>61123.659542142872</v>
      </c>
      <c r="K475" s="352">
        <f t="shared" si="188"/>
        <v>59815.119459239977</v>
      </c>
      <c r="L475" s="352">
        <f t="shared" si="188"/>
        <v>66918.945366881468</v>
      </c>
      <c r="M475" s="352">
        <f t="shared" si="177"/>
        <v>7103.8259076414906</v>
      </c>
      <c r="N475" s="102"/>
    </row>
    <row r="476" spans="1:14" s="351" customFormat="1" x14ac:dyDescent="0.2">
      <c r="A476" s="195"/>
      <c r="B476" s="194"/>
      <c r="C476" s="102">
        <v>48821</v>
      </c>
      <c r="D476" s="102">
        <f t="shared" ref="D476:K476" si="189">+C475</f>
        <v>51394.093218151393</v>
      </c>
      <c r="E476" s="102">
        <f t="shared" si="189"/>
        <v>54016.047860165992</v>
      </c>
      <c r="F476" s="102">
        <f t="shared" si="189"/>
        <v>53453.028462245093</v>
      </c>
      <c r="G476" s="102">
        <f t="shared" si="189"/>
        <v>57663.724586391996</v>
      </c>
      <c r="H476" s="102">
        <f t="shared" si="189"/>
        <v>59205.276720027374</v>
      </c>
      <c r="I476" s="102">
        <f t="shared" si="189"/>
        <v>61231.590396637032</v>
      </c>
      <c r="J476" s="102">
        <f t="shared" si="189"/>
        <v>60694.513599931917</v>
      </c>
      <c r="K476" s="102">
        <f t="shared" si="189"/>
        <v>61123.659542142872</v>
      </c>
      <c r="L476" s="102">
        <f>+G475</f>
        <v>59205.276720027374</v>
      </c>
      <c r="M476" s="102">
        <f t="shared" si="177"/>
        <v>-1918.3828221154981</v>
      </c>
      <c r="N476" s="102"/>
    </row>
    <row r="477" spans="1:14" s="351" customFormat="1" x14ac:dyDescent="0.2">
      <c r="A477" s="195"/>
      <c r="B477" s="194"/>
      <c r="C477" s="353">
        <f t="shared" ref="C477:L477" si="190">+C475/C476</f>
        <v>1.0527046397687756</v>
      </c>
      <c r="D477" s="353">
        <f t="shared" si="190"/>
        <v>1.0510166534291254</v>
      </c>
      <c r="E477" s="353">
        <f t="shared" si="190"/>
        <v>0.98957681244324991</v>
      </c>
      <c r="F477" s="353">
        <f t="shared" si="190"/>
        <v>1.0787737616610629</v>
      </c>
      <c r="G477" s="353">
        <f t="shared" si="190"/>
        <v>1.026733481832687</v>
      </c>
      <c r="H477" s="353">
        <f t="shared" si="190"/>
        <v>1.0342252209408933</v>
      </c>
      <c r="I477" s="353">
        <f t="shared" si="190"/>
        <v>0.99122876291100526</v>
      </c>
      <c r="J477" s="353">
        <f t="shared" si="190"/>
        <v>1.0070705887032834</v>
      </c>
      <c r="K477" s="353">
        <f t="shared" si="190"/>
        <v>0.97859192180728816</v>
      </c>
      <c r="L477" s="353">
        <f t="shared" si="190"/>
        <v>1.1302868439131</v>
      </c>
      <c r="M477" s="353">
        <f t="shared" si="177"/>
        <v>0.15169492210581181</v>
      </c>
      <c r="N477" s="353"/>
    </row>
    <row r="478" spans="1:14" s="351" customFormat="1" x14ac:dyDescent="0.2">
      <c r="A478" s="195"/>
      <c r="B478" s="194"/>
      <c r="C478" s="354"/>
      <c r="D478" s="354"/>
      <c r="E478" s="354"/>
      <c r="F478" s="354"/>
      <c r="G478" s="354"/>
      <c r="H478" s="354"/>
      <c r="I478" s="354"/>
      <c r="J478" s="354"/>
      <c r="K478" s="354"/>
      <c r="L478" s="354"/>
      <c r="M478" s="354"/>
      <c r="N478" s="354"/>
    </row>
    <row r="479" spans="1:14" s="356" customFormat="1" x14ac:dyDescent="0.2">
      <c r="A479" s="195"/>
      <c r="B479" s="193" t="s">
        <v>834</v>
      </c>
      <c r="C479" s="355">
        <f t="shared" ref="C479:L479" si="191">+C8</f>
        <v>2003</v>
      </c>
      <c r="D479" s="355">
        <f t="shared" si="191"/>
        <v>2004</v>
      </c>
      <c r="E479" s="355">
        <f t="shared" si="191"/>
        <v>2005</v>
      </c>
      <c r="F479" s="355">
        <f t="shared" si="191"/>
        <v>2006</v>
      </c>
      <c r="G479" s="355">
        <f t="shared" si="191"/>
        <v>2007</v>
      </c>
      <c r="H479" s="355">
        <f t="shared" si="191"/>
        <v>2008</v>
      </c>
      <c r="I479" s="355">
        <f t="shared" si="191"/>
        <v>2009</v>
      </c>
      <c r="J479" s="355">
        <f t="shared" si="191"/>
        <v>2010</v>
      </c>
      <c r="K479" s="355">
        <f t="shared" si="191"/>
        <v>2011</v>
      </c>
      <c r="L479" s="355" t="str">
        <f t="shared" si="191"/>
        <v>Plan2012</v>
      </c>
      <c r="M479" s="355" t="s">
        <v>57</v>
      </c>
      <c r="N479" s="355"/>
    </row>
    <row r="480" spans="1:14" s="356" customFormat="1" x14ac:dyDescent="0.2">
      <c r="A480" s="195"/>
      <c r="B480" s="194" t="s">
        <v>204</v>
      </c>
      <c r="C480" s="285">
        <f t="shared" ref="C480:L480" si="192">+C435</f>
        <v>7537008.6300000008</v>
      </c>
      <c r="D480" s="285">
        <f t="shared" si="192"/>
        <v>7401625.2000000002</v>
      </c>
      <c r="E480" s="285">
        <f t="shared" si="192"/>
        <v>7693399.9700000007</v>
      </c>
      <c r="F480" s="285">
        <f t="shared" si="192"/>
        <v>8302568.4499999993</v>
      </c>
      <c r="G480" s="285">
        <f t="shared" si="192"/>
        <v>9588780.4300000016</v>
      </c>
      <c r="H480" s="285">
        <f t="shared" si="192"/>
        <v>8864455.9600000009</v>
      </c>
      <c r="I480" s="285">
        <f t="shared" si="192"/>
        <v>4706369.5</v>
      </c>
      <c r="J480" s="285">
        <f t="shared" si="192"/>
        <v>3455339.7</v>
      </c>
      <c r="K480" s="285">
        <f t="shared" si="192"/>
        <v>2418599.0500000003</v>
      </c>
      <c r="L480" s="285">
        <f t="shared" si="192"/>
        <v>4340772.1994463373</v>
      </c>
      <c r="M480" s="285">
        <f t="shared" si="177"/>
        <v>1922173.149446337</v>
      </c>
      <c r="N480" s="285"/>
    </row>
    <row r="481" spans="1:14" s="356" customFormat="1" x14ac:dyDescent="0.2">
      <c r="A481" s="195"/>
      <c r="B481" s="194" t="s">
        <v>833</v>
      </c>
      <c r="C481" s="285">
        <v>0</v>
      </c>
      <c r="D481" s="285">
        <f t="shared" ref="D481:K481" si="193">+D480-C480</f>
        <v>-135383.43000000063</v>
      </c>
      <c r="E481" s="285">
        <f t="shared" si="193"/>
        <v>291774.77000000048</v>
      </c>
      <c r="F481" s="285">
        <f t="shared" si="193"/>
        <v>609168.47999999858</v>
      </c>
      <c r="G481" s="285">
        <f t="shared" si="193"/>
        <v>1286211.9800000023</v>
      </c>
      <c r="H481" s="285">
        <f t="shared" si="193"/>
        <v>-724324.47000000067</v>
      </c>
      <c r="I481" s="285">
        <f t="shared" si="193"/>
        <v>-4158086.4600000009</v>
      </c>
      <c r="J481" s="285">
        <f t="shared" si="193"/>
        <v>-1251029.7999999998</v>
      </c>
      <c r="K481" s="285">
        <f t="shared" si="193"/>
        <v>-1036740.6499999999</v>
      </c>
      <c r="L481" s="285">
        <f>+L480-G480</f>
        <v>-5248008.2305536643</v>
      </c>
      <c r="M481" s="285">
        <f t="shared" si="177"/>
        <v>-4211267.5805536639</v>
      </c>
      <c r="N481" s="285"/>
    </row>
    <row r="482" spans="1:14" s="356" customFormat="1" x14ac:dyDescent="0.2">
      <c r="A482" s="195"/>
      <c r="B482" s="194" t="s">
        <v>832</v>
      </c>
      <c r="C482" s="353">
        <v>0</v>
      </c>
      <c r="D482" s="353">
        <f t="shared" ref="D482:K482" si="194">+D481/C480</f>
        <v>-1.7962488388447103E-2</v>
      </c>
      <c r="E482" s="353">
        <f t="shared" si="194"/>
        <v>3.9420365408397127E-2</v>
      </c>
      <c r="F482" s="353">
        <f t="shared" si="194"/>
        <v>7.9180659055218539E-2</v>
      </c>
      <c r="G482" s="353">
        <f t="shared" si="194"/>
        <v>0.15491735933836262</v>
      </c>
      <c r="H482" s="353">
        <f t="shared" si="194"/>
        <v>-7.5538748153397908E-2</v>
      </c>
      <c r="I482" s="353">
        <f t="shared" si="194"/>
        <v>-0.46907407276464153</v>
      </c>
      <c r="J482" s="353">
        <f t="shared" si="194"/>
        <v>-0.26581631552728696</v>
      </c>
      <c r="K482" s="353">
        <f t="shared" si="194"/>
        <v>-0.30004015234739434</v>
      </c>
      <c r="L482" s="353">
        <f>+L481/G480</f>
        <v>-0.54730716475000807</v>
      </c>
      <c r="M482" s="353">
        <f t="shared" si="177"/>
        <v>-0.24726701240261373</v>
      </c>
      <c r="N482" s="285"/>
    </row>
    <row r="483" spans="1:14" s="356" customFormat="1" x14ac:dyDescent="0.2">
      <c r="A483" s="195"/>
      <c r="B483" s="194" t="s">
        <v>831</v>
      </c>
      <c r="C483" s="353">
        <f t="shared" ref="C483:L483" si="195">+C480/C495</f>
        <v>1.5477183528080172</v>
      </c>
      <c r="D483" s="353">
        <f t="shared" si="195"/>
        <v>1.7153447421802361</v>
      </c>
      <c r="E483" s="353">
        <f t="shared" si="195"/>
        <v>1.5761217658079676</v>
      </c>
      <c r="F483" s="353">
        <f t="shared" si="195"/>
        <v>1.5419283045780143</v>
      </c>
      <c r="G483" s="353">
        <f t="shared" si="195"/>
        <v>1.5434416310488577</v>
      </c>
      <c r="H483" s="353">
        <f t="shared" si="195"/>
        <v>1.5393347015677969</v>
      </c>
      <c r="I483" s="353">
        <f t="shared" si="195"/>
        <v>1.5155520806002765</v>
      </c>
      <c r="J483" s="353">
        <f t="shared" si="195"/>
        <v>1.3045806034867751</v>
      </c>
      <c r="K483" s="353">
        <f t="shared" si="195"/>
        <v>1.826132039787647</v>
      </c>
      <c r="L483" s="353">
        <f t="shared" si="195"/>
        <v>1.8771009256822935</v>
      </c>
      <c r="M483" s="353">
        <f t="shared" si="177"/>
        <v>5.0968885894646432E-2</v>
      </c>
      <c r="N483" s="285"/>
    </row>
    <row r="484" spans="1:14" s="268" customFormat="1" x14ac:dyDescent="0.2">
      <c r="A484" s="195"/>
      <c r="B484" s="194" t="s">
        <v>49</v>
      </c>
      <c r="C484" s="357">
        <f t="shared" ref="C484:L484" si="196">+C438</f>
        <v>1229904.6200000001</v>
      </c>
      <c r="D484" s="357">
        <f t="shared" si="196"/>
        <v>1317903.07</v>
      </c>
      <c r="E484" s="357">
        <f t="shared" si="196"/>
        <v>1350395.6800000002</v>
      </c>
      <c r="F484" s="357">
        <f t="shared" si="196"/>
        <v>1439998.95</v>
      </c>
      <c r="G484" s="357">
        <f t="shared" si="196"/>
        <v>1807588.08</v>
      </c>
      <c r="H484" s="357">
        <f t="shared" si="196"/>
        <v>1743502.49</v>
      </c>
      <c r="I484" s="357">
        <f t="shared" si="196"/>
        <v>1083862.73</v>
      </c>
      <c r="J484" s="357">
        <f t="shared" si="196"/>
        <v>896079.24</v>
      </c>
      <c r="K484" s="357">
        <f t="shared" si="196"/>
        <v>756139.64</v>
      </c>
      <c r="L484" s="357">
        <f t="shared" si="196"/>
        <v>606305.86800000002</v>
      </c>
      <c r="M484" s="357">
        <f t="shared" si="177"/>
        <v>-149833.772</v>
      </c>
      <c r="N484" s="357"/>
    </row>
    <row r="485" spans="1:14" s="351" customFormat="1" x14ac:dyDescent="0.2">
      <c r="A485" s="195"/>
      <c r="B485" s="194" t="s">
        <v>176</v>
      </c>
      <c r="C485" s="358">
        <f t="shared" ref="C485:L485" si="197">+C495/C484</f>
        <v>3.9594571487990677</v>
      </c>
      <c r="D485" s="358">
        <f t="shared" si="197"/>
        <v>3.2741019944661027</v>
      </c>
      <c r="E485" s="358">
        <f t="shared" si="197"/>
        <v>3.6146604304895291</v>
      </c>
      <c r="F485" s="358">
        <f t="shared" si="197"/>
        <v>3.7392638307132096</v>
      </c>
      <c r="G485" s="358">
        <f t="shared" si="197"/>
        <v>3.436953805316088</v>
      </c>
      <c r="H485" s="358">
        <f t="shared" si="197"/>
        <v>3.3029078323828491</v>
      </c>
      <c r="I485" s="358">
        <f t="shared" si="197"/>
        <v>2.8651071801315653</v>
      </c>
      <c r="J485" s="358">
        <f t="shared" si="197"/>
        <v>2.9557889210780068</v>
      </c>
      <c r="K485" s="358">
        <f t="shared" si="197"/>
        <v>1.7515788618091761</v>
      </c>
      <c r="L485" s="358">
        <f t="shared" si="197"/>
        <v>3.8140606926114775</v>
      </c>
      <c r="M485" s="358">
        <f t="shared" si="177"/>
        <v>2.0624818308023016</v>
      </c>
      <c r="N485" s="358">
        <v>3.03</v>
      </c>
    </row>
    <row r="486" spans="1:14" s="351" customFormat="1" x14ac:dyDescent="0.2">
      <c r="A486" s="195"/>
      <c r="B486" s="194" t="s">
        <v>830</v>
      </c>
      <c r="C486" s="358">
        <f t="shared" ref="C486:L486" si="198">+C484/C364</f>
        <v>26.154271557682087</v>
      </c>
      <c r="D486" s="358">
        <f t="shared" si="198"/>
        <v>27.747664434899782</v>
      </c>
      <c r="E486" s="358">
        <f t="shared" si="198"/>
        <v>27.162194866843674</v>
      </c>
      <c r="F486" s="358">
        <f t="shared" si="198"/>
        <v>29.78034805807172</v>
      </c>
      <c r="G486" s="358">
        <f t="shared" si="198"/>
        <v>30.61892233420852</v>
      </c>
      <c r="H486" s="358">
        <f t="shared" si="198"/>
        <v>30.647983581774714</v>
      </c>
      <c r="I486" s="358">
        <f t="shared" si="198"/>
        <v>31.713220294350002</v>
      </c>
      <c r="J486" s="358">
        <f t="shared" si="198"/>
        <v>32.034864864864865</v>
      </c>
      <c r="K486" s="358">
        <f t="shared" si="198"/>
        <v>33.114637820793554</v>
      </c>
      <c r="L486" s="358">
        <f t="shared" si="198"/>
        <v>26.865733250620348</v>
      </c>
      <c r="M486" s="358">
        <f t="shared" si="177"/>
        <v>-6.248904570173206</v>
      </c>
      <c r="N486" s="358"/>
    </row>
    <row r="487" spans="1:14" s="351" customFormat="1" x14ac:dyDescent="0.2">
      <c r="A487" s="195"/>
      <c r="B487" s="194" t="s">
        <v>829</v>
      </c>
      <c r="C487" s="358">
        <f t="shared" ref="C487:L487" si="199">+C486*C485</f>
        <v>103.55671749069647</v>
      </c>
      <c r="D487" s="358">
        <f t="shared" si="199"/>
        <v>90.848683468081518</v>
      </c>
      <c r="E487" s="358">
        <f t="shared" si="199"/>
        <v>98.182110990425628</v>
      </c>
      <c r="F487" s="358">
        <f t="shared" si="199"/>
        <v>111.35657835959795</v>
      </c>
      <c r="G487" s="358">
        <f t="shared" si="199"/>
        <v>105.23582163123572</v>
      </c>
      <c r="H487" s="358">
        <f t="shared" si="199"/>
        <v>101.22746501898467</v>
      </c>
      <c r="I487" s="358">
        <f t="shared" si="199"/>
        <v>90.86177517043626</v>
      </c>
      <c r="J487" s="358">
        <f t="shared" si="199"/>
        <v>94.688298655798661</v>
      </c>
      <c r="K487" s="358">
        <f t="shared" si="199"/>
        <v>58.00289962336867</v>
      </c>
      <c r="L487" s="358">
        <f t="shared" si="199"/>
        <v>102.46753716937624</v>
      </c>
      <c r="M487" s="358">
        <f t="shared" si="177"/>
        <v>44.464637546007573</v>
      </c>
      <c r="N487" s="358"/>
    </row>
    <row r="488" spans="1:14" s="351" customFormat="1" x14ac:dyDescent="0.2">
      <c r="A488" s="195"/>
      <c r="B488" s="194" t="s">
        <v>828</v>
      </c>
      <c r="C488" s="359">
        <f t="shared" ref="C488:L488" si="200">+C410</f>
        <v>0.56871224264174136</v>
      </c>
      <c r="D488" s="359">
        <f t="shared" si="200"/>
        <v>0.55789141108171603</v>
      </c>
      <c r="E488" s="359">
        <f t="shared" si="200"/>
        <v>0.53840412551567196</v>
      </c>
      <c r="F488" s="359">
        <f t="shared" si="200"/>
        <v>0.54139480841777654</v>
      </c>
      <c r="G488" s="359">
        <f t="shared" si="200"/>
        <v>0.60599678675426849</v>
      </c>
      <c r="H488" s="359">
        <f t="shared" si="200"/>
        <v>0.52267202303348614</v>
      </c>
      <c r="I488" s="359">
        <f t="shared" si="200"/>
        <v>0.52691697384817582</v>
      </c>
      <c r="J488" s="359">
        <f t="shared" si="200"/>
        <v>0.52644966481751909</v>
      </c>
      <c r="K488" s="359">
        <f t="shared" si="200"/>
        <v>0.62803308671307634</v>
      </c>
      <c r="L488" s="359">
        <f t="shared" si="200"/>
        <v>0.4862349808842798</v>
      </c>
      <c r="M488" s="359">
        <f t="shared" si="177"/>
        <v>-0.14179810582879654</v>
      </c>
      <c r="N488" s="359">
        <v>0.61399999999999999</v>
      </c>
    </row>
    <row r="489" spans="1:14" s="351" customFormat="1" x14ac:dyDescent="0.2">
      <c r="A489" s="195"/>
      <c r="B489" s="194" t="s">
        <v>827</v>
      </c>
      <c r="C489" s="359">
        <f t="shared" ref="C489:L489" si="201">+C415</f>
        <v>0.7317585546893236</v>
      </c>
      <c r="D489" s="359">
        <f t="shared" si="201"/>
        <v>0.7121693756372578</v>
      </c>
      <c r="E489" s="359">
        <f t="shared" si="201"/>
        <v>0.66446585851565731</v>
      </c>
      <c r="F489" s="359">
        <f t="shared" si="201"/>
        <v>0.66410295147711196</v>
      </c>
      <c r="G489" s="359">
        <f t="shared" si="201"/>
        <v>0.72844944596628913</v>
      </c>
      <c r="H489" s="359">
        <f t="shared" si="201"/>
        <v>0.64225072254335258</v>
      </c>
      <c r="I489" s="359">
        <f t="shared" si="201"/>
        <v>0.65512085721405433</v>
      </c>
      <c r="J489" s="359">
        <f t="shared" si="201"/>
        <v>0.64775490355000809</v>
      </c>
      <c r="K489" s="359">
        <f t="shared" si="201"/>
        <v>0.67550217436322224</v>
      </c>
      <c r="L489" s="359">
        <f t="shared" si="201"/>
        <v>0.74315068493150682</v>
      </c>
      <c r="M489" s="359">
        <f t="shared" si="177"/>
        <v>6.7648510568284581E-2</v>
      </c>
      <c r="N489" s="359"/>
    </row>
    <row r="490" spans="1:14" s="351" customFormat="1" x14ac:dyDescent="0.2">
      <c r="A490" s="195"/>
      <c r="B490" s="194" t="s">
        <v>826</v>
      </c>
      <c r="C490" s="358">
        <f t="shared" ref="C490:L490" si="202">+C364/C397</f>
        <v>1117.5402055519514</v>
      </c>
      <c r="D490" s="358">
        <f t="shared" si="202"/>
        <v>1086.0405650524926</v>
      </c>
      <c r="E490" s="358">
        <f t="shared" si="202"/>
        <v>1059.5362851368732</v>
      </c>
      <c r="F490" s="358">
        <f t="shared" si="202"/>
        <v>1048.303433668013</v>
      </c>
      <c r="G490" s="358">
        <f t="shared" si="202"/>
        <v>1171.7658466101373</v>
      </c>
      <c r="H490" s="358">
        <f t="shared" si="202"/>
        <v>1044.246161930201</v>
      </c>
      <c r="I490" s="358">
        <f t="shared" si="202"/>
        <v>1008.4428241101955</v>
      </c>
      <c r="J490" s="358">
        <f t="shared" si="202"/>
        <v>1004.4846517730741</v>
      </c>
      <c r="K490" s="358">
        <f t="shared" si="202"/>
        <v>1134.4189934793512</v>
      </c>
      <c r="L490" s="358">
        <f t="shared" si="202"/>
        <v>1211.1462515362555</v>
      </c>
      <c r="M490" s="358">
        <f t="shared" si="177"/>
        <v>76.727258056904247</v>
      </c>
      <c r="N490" s="358"/>
    </row>
    <row r="491" spans="1:14" s="351" customFormat="1" x14ac:dyDescent="0.2">
      <c r="A491" s="195"/>
      <c r="B491" s="194" t="s">
        <v>825</v>
      </c>
      <c r="C491" s="358">
        <f t="shared" ref="C491:L491" si="203">+C364/C393</f>
        <v>1527.9118621913076</v>
      </c>
      <c r="D491" s="358">
        <f t="shared" si="203"/>
        <v>1481.3123013254963</v>
      </c>
      <c r="E491" s="358">
        <f t="shared" si="203"/>
        <v>1387.4047125806926</v>
      </c>
      <c r="F491" s="358">
        <f t="shared" si="203"/>
        <v>1386.6469626842097</v>
      </c>
      <c r="G491" s="358">
        <f t="shared" si="203"/>
        <v>1521.0024431776114</v>
      </c>
      <c r="H491" s="358">
        <f t="shared" si="203"/>
        <v>1346.157514450867</v>
      </c>
      <c r="I491" s="358">
        <f t="shared" si="203"/>
        <v>1362.6513830052329</v>
      </c>
      <c r="J491" s="358">
        <f t="shared" si="203"/>
        <v>1347.3301993840169</v>
      </c>
      <c r="K491" s="358">
        <f t="shared" si="203"/>
        <v>1405.0445226755021</v>
      </c>
      <c r="L491" s="358">
        <f t="shared" si="203"/>
        <v>1557.6438356164383</v>
      </c>
      <c r="M491" s="358">
        <f t="shared" si="177"/>
        <v>152.59931294093622</v>
      </c>
      <c r="N491" s="358"/>
    </row>
    <row r="492" spans="1:14" s="351" customFormat="1" x14ac:dyDescent="0.2">
      <c r="A492" s="195"/>
      <c r="B492" s="194" t="s">
        <v>824</v>
      </c>
      <c r="C492" s="360">
        <f t="shared" ref="C492:L492" si="204">+C495/C496</f>
        <v>2.2517917547373933</v>
      </c>
      <c r="D492" s="360">
        <f t="shared" si="204"/>
        <v>1.826593381718155</v>
      </c>
      <c r="E492" s="360">
        <f t="shared" si="204"/>
        <v>1.9461480881138173</v>
      </c>
      <c r="F492" s="360">
        <f t="shared" si="204"/>
        <v>2.0244180252524995</v>
      </c>
      <c r="G492" s="360">
        <f t="shared" si="204"/>
        <v>2.082782962244405</v>
      </c>
      <c r="H492" s="360">
        <f t="shared" si="204"/>
        <v>1.7263375186446905</v>
      </c>
      <c r="I492" s="360">
        <f t="shared" si="204"/>
        <v>1.5096736051056048</v>
      </c>
      <c r="J492" s="360">
        <f t="shared" si="204"/>
        <v>1.5560740867728531</v>
      </c>
      <c r="K492" s="360">
        <f t="shared" si="204"/>
        <v>1.1000494792033939</v>
      </c>
      <c r="L492" s="360">
        <f t="shared" si="204"/>
        <v>1.8545297279634247</v>
      </c>
      <c r="M492" s="360">
        <f t="shared" si="177"/>
        <v>0.75448024876003084</v>
      </c>
      <c r="N492" s="360"/>
    </row>
    <row r="493" spans="1:14" s="351" customFormat="1" x14ac:dyDescent="0.2">
      <c r="A493" s="195"/>
      <c r="B493" s="194" t="s">
        <v>823</v>
      </c>
      <c r="C493" s="360"/>
      <c r="D493" s="360"/>
      <c r="E493" s="360"/>
      <c r="F493" s="360"/>
      <c r="G493" s="360"/>
      <c r="H493" s="360"/>
      <c r="I493" s="360"/>
      <c r="J493" s="360"/>
      <c r="K493" s="360"/>
      <c r="L493" s="360"/>
      <c r="M493" s="360">
        <f t="shared" si="177"/>
        <v>0</v>
      </c>
      <c r="N493" s="360"/>
    </row>
    <row r="494" spans="1:14" s="268" customFormat="1" x14ac:dyDescent="0.2">
      <c r="A494" s="195"/>
      <c r="B494" s="194" t="s">
        <v>822</v>
      </c>
      <c r="C494" s="357">
        <f t="shared" ref="C494:L494" si="205">+C28</f>
        <v>7537008.6300000008</v>
      </c>
      <c r="D494" s="357">
        <f t="shared" si="205"/>
        <v>7401625.2000000002</v>
      </c>
      <c r="E494" s="357">
        <f t="shared" si="205"/>
        <v>7693399.9700000007</v>
      </c>
      <c r="F494" s="357">
        <f t="shared" si="205"/>
        <v>8302568.4499999993</v>
      </c>
      <c r="G494" s="357">
        <f t="shared" si="205"/>
        <v>9588780.4300000016</v>
      </c>
      <c r="H494" s="357">
        <f t="shared" si="205"/>
        <v>8864455.9600000009</v>
      </c>
      <c r="I494" s="357">
        <f t="shared" si="205"/>
        <v>4706369.5</v>
      </c>
      <c r="J494" s="357">
        <f t="shared" si="205"/>
        <v>3455339.7</v>
      </c>
      <c r="K494" s="357">
        <f t="shared" si="205"/>
        <v>2418599.0500000003</v>
      </c>
      <c r="L494" s="357">
        <f t="shared" si="205"/>
        <v>4340772.1994463373</v>
      </c>
      <c r="M494" s="357">
        <f t="shared" si="177"/>
        <v>1922173.149446337</v>
      </c>
      <c r="N494" s="357"/>
    </row>
    <row r="495" spans="1:14" s="268" customFormat="1" x14ac:dyDescent="0.2">
      <c r="A495" s="195"/>
      <c r="B495" s="194" t="s">
        <v>821</v>
      </c>
      <c r="C495" s="357">
        <f t="shared" ref="C495:L495" si="206">+C131</f>
        <v>4869754.6400000015</v>
      </c>
      <c r="D495" s="357">
        <f t="shared" si="206"/>
        <v>4314949.07</v>
      </c>
      <c r="E495" s="357">
        <f t="shared" si="206"/>
        <v>4881221.830000001</v>
      </c>
      <c r="F495" s="357">
        <f t="shared" si="206"/>
        <v>5384535.9899999993</v>
      </c>
      <c r="G495" s="357">
        <f t="shared" si="206"/>
        <v>6212596.7300000014</v>
      </c>
      <c r="H495" s="357">
        <f t="shared" si="206"/>
        <v>5758628.0300000003</v>
      </c>
      <c r="I495" s="357">
        <f t="shared" si="206"/>
        <v>3105382.89</v>
      </c>
      <c r="J495" s="357">
        <f t="shared" si="206"/>
        <v>2648621.0900000003</v>
      </c>
      <c r="K495" s="357">
        <f t="shared" si="206"/>
        <v>1324438.2100000002</v>
      </c>
      <c r="L495" s="357">
        <f t="shared" si="206"/>
        <v>2312487.3788384832</v>
      </c>
      <c r="M495" s="357">
        <f t="shared" si="177"/>
        <v>988049.16883848305</v>
      </c>
      <c r="N495" s="357"/>
    </row>
    <row r="496" spans="1:14" s="268" customFormat="1" x14ac:dyDescent="0.2">
      <c r="A496" s="195"/>
      <c r="B496" s="194" t="s">
        <v>55</v>
      </c>
      <c r="C496" s="357">
        <f t="shared" ref="C496:L496" si="207">+C137+C152+C159</f>
        <v>2162613.23</v>
      </c>
      <c r="D496" s="357">
        <f t="shared" si="207"/>
        <v>2362293.17</v>
      </c>
      <c r="E496" s="357">
        <f t="shared" si="207"/>
        <v>2508145.12</v>
      </c>
      <c r="F496" s="357">
        <f t="shared" si="207"/>
        <v>2659794.5299999998</v>
      </c>
      <c r="G496" s="357">
        <f t="shared" si="207"/>
        <v>2982834.43</v>
      </c>
      <c r="H496" s="357">
        <f t="shared" si="207"/>
        <v>3335748.6399999997</v>
      </c>
      <c r="I496" s="357">
        <f t="shared" si="207"/>
        <v>2056989.59</v>
      </c>
      <c r="J496" s="357">
        <f t="shared" si="207"/>
        <v>1702117.5999999999</v>
      </c>
      <c r="K496" s="357">
        <f t="shared" si="207"/>
        <v>1203980.58</v>
      </c>
      <c r="L496" s="357">
        <f t="shared" si="207"/>
        <v>1246940.0430576922</v>
      </c>
      <c r="M496" s="357">
        <f t="shared" si="177"/>
        <v>42959.463057692163</v>
      </c>
      <c r="N496" s="357"/>
    </row>
    <row r="497" spans="1:14" s="268" customFormat="1" x14ac:dyDescent="0.2">
      <c r="A497" s="195"/>
      <c r="B497" s="194" t="s">
        <v>820</v>
      </c>
      <c r="C497" s="357">
        <f t="shared" ref="C497:L497" si="208">+C169+C188</f>
        <v>399817.83</v>
      </c>
      <c r="D497" s="357">
        <f t="shared" si="208"/>
        <v>465109.5</v>
      </c>
      <c r="E497" s="357">
        <f t="shared" si="208"/>
        <v>530828.42000000004</v>
      </c>
      <c r="F497" s="357">
        <f t="shared" si="208"/>
        <v>586683.47999999986</v>
      </c>
      <c r="G497" s="357">
        <f t="shared" si="208"/>
        <v>682950.22</v>
      </c>
      <c r="H497" s="357">
        <f t="shared" si="208"/>
        <v>775432.36</v>
      </c>
      <c r="I497" s="357">
        <f t="shared" si="208"/>
        <v>562191.37999999989</v>
      </c>
      <c r="J497" s="357">
        <f t="shared" si="208"/>
        <v>465064.51</v>
      </c>
      <c r="K497" s="357">
        <f t="shared" si="208"/>
        <v>283825.52</v>
      </c>
      <c r="L497" s="357">
        <f t="shared" si="208"/>
        <v>261010.42596682505</v>
      </c>
      <c r="M497" s="357">
        <f t="shared" si="177"/>
        <v>-22815.094033174973</v>
      </c>
      <c r="N497" s="357"/>
    </row>
    <row r="498" spans="1:14" s="268" customFormat="1" x14ac:dyDescent="0.2">
      <c r="A498" s="195"/>
      <c r="B498" s="194" t="s">
        <v>819</v>
      </c>
      <c r="C498" s="357">
        <f t="shared" ref="C498:L498" si="209">+C316</f>
        <v>1190841.5799999998</v>
      </c>
      <c r="D498" s="357">
        <f t="shared" si="209"/>
        <v>1388661.37</v>
      </c>
      <c r="E498" s="357">
        <f t="shared" si="209"/>
        <v>1342620.1099999999</v>
      </c>
      <c r="F498" s="357">
        <f t="shared" si="209"/>
        <v>1470981.92</v>
      </c>
      <c r="G498" s="357">
        <f t="shared" si="209"/>
        <v>1749861.96</v>
      </c>
      <c r="H498" s="357">
        <f t="shared" si="209"/>
        <v>1770106.9</v>
      </c>
      <c r="I498" s="357">
        <f t="shared" si="209"/>
        <v>1243091.94</v>
      </c>
      <c r="J498" s="357">
        <f t="shared" si="209"/>
        <v>1069148.1100000001</v>
      </c>
      <c r="K498" s="357">
        <f t="shared" si="209"/>
        <v>795406.63</v>
      </c>
      <c r="L498" s="357">
        <f t="shared" si="209"/>
        <v>693002.10596682504</v>
      </c>
      <c r="M498" s="357">
        <f t="shared" si="177"/>
        <v>-102404.52403317497</v>
      </c>
      <c r="N498" s="357"/>
    </row>
    <row r="499" spans="1:14" s="268" customFormat="1" x14ac:dyDescent="0.2">
      <c r="A499" s="195"/>
      <c r="B499" s="194" t="s">
        <v>818</v>
      </c>
      <c r="C499" s="357">
        <f t="shared" ref="C499:L499" si="210">+C496+C497+C498</f>
        <v>3753272.6399999997</v>
      </c>
      <c r="D499" s="357">
        <f t="shared" si="210"/>
        <v>4216064.04</v>
      </c>
      <c r="E499" s="357">
        <f t="shared" si="210"/>
        <v>4381593.6500000004</v>
      </c>
      <c r="F499" s="357">
        <f t="shared" si="210"/>
        <v>4717459.93</v>
      </c>
      <c r="G499" s="357">
        <f t="shared" si="210"/>
        <v>5415646.6100000003</v>
      </c>
      <c r="H499" s="357">
        <f t="shared" si="210"/>
        <v>5881287.8999999994</v>
      </c>
      <c r="I499" s="357">
        <f t="shared" si="210"/>
        <v>3862272.9099999997</v>
      </c>
      <c r="J499" s="357">
        <f t="shared" si="210"/>
        <v>3236330.2199999997</v>
      </c>
      <c r="K499" s="357">
        <f t="shared" si="210"/>
        <v>2283212.73</v>
      </c>
      <c r="L499" s="357">
        <f t="shared" si="210"/>
        <v>2200952.5749913426</v>
      </c>
      <c r="M499" s="357">
        <f t="shared" si="177"/>
        <v>-82260.15500865737</v>
      </c>
      <c r="N499" s="357"/>
    </row>
    <row r="500" spans="1:14" s="268" customFormat="1" x14ac:dyDescent="0.2">
      <c r="A500" s="195"/>
      <c r="B500" s="194" t="s">
        <v>817</v>
      </c>
      <c r="C500" s="357">
        <f t="shared" ref="C500:L500" si="211">+C495-C499</f>
        <v>1116482.0000000019</v>
      </c>
      <c r="D500" s="357">
        <f t="shared" si="211"/>
        <v>98885.030000000261</v>
      </c>
      <c r="E500" s="357">
        <f t="shared" si="211"/>
        <v>499628.18000000063</v>
      </c>
      <c r="F500" s="357">
        <f t="shared" si="211"/>
        <v>667076.05999999959</v>
      </c>
      <c r="G500" s="357">
        <f t="shared" si="211"/>
        <v>796950.12000000104</v>
      </c>
      <c r="H500" s="357">
        <f t="shared" si="211"/>
        <v>-122659.86999999918</v>
      </c>
      <c r="I500" s="357">
        <f t="shared" si="211"/>
        <v>-756890.01999999955</v>
      </c>
      <c r="J500" s="357">
        <f t="shared" si="211"/>
        <v>-587709.12999999942</v>
      </c>
      <c r="K500" s="357">
        <f t="shared" si="211"/>
        <v>-958774.51999999979</v>
      </c>
      <c r="L500" s="357">
        <f t="shared" si="211"/>
        <v>111534.80384714063</v>
      </c>
      <c r="M500" s="357">
        <f t="shared" si="177"/>
        <v>1070309.3238471404</v>
      </c>
      <c r="N500" s="357"/>
    </row>
    <row r="501" spans="1:14" x14ac:dyDescent="0.2">
      <c r="B501" s="194" t="s">
        <v>816</v>
      </c>
      <c r="C501" s="216">
        <v>391263.88</v>
      </c>
      <c r="D501" s="216">
        <f t="shared" ref="D501:L501" si="212">+D335+D334</f>
        <v>122589.11</v>
      </c>
      <c r="E501" s="216">
        <f t="shared" si="212"/>
        <v>318788.05000000005</v>
      </c>
      <c r="F501" s="216">
        <f t="shared" si="212"/>
        <v>598034.84000000008</v>
      </c>
      <c r="G501" s="216">
        <f t="shared" si="212"/>
        <v>658312.28999999992</v>
      </c>
      <c r="H501" s="216">
        <f t="shared" si="212"/>
        <v>55461.120000000003</v>
      </c>
      <c r="I501" s="216">
        <f t="shared" si="212"/>
        <v>25323.8</v>
      </c>
      <c r="J501" s="216">
        <f t="shared" si="212"/>
        <v>0</v>
      </c>
      <c r="K501" s="216">
        <f t="shared" si="212"/>
        <v>0</v>
      </c>
      <c r="L501" s="216">
        <f t="shared" si="212"/>
        <v>40054.336329636855</v>
      </c>
      <c r="M501" s="216">
        <f t="shared" si="177"/>
        <v>40054.336329636855</v>
      </c>
      <c r="N501" s="216"/>
    </row>
    <row r="502" spans="1:14" s="59" customFormat="1" x14ac:dyDescent="0.2">
      <c r="A502" s="239"/>
      <c r="B502" s="204" t="s">
        <v>815</v>
      </c>
      <c r="C502" s="217">
        <v>375325.56</v>
      </c>
      <c r="D502" s="217">
        <f t="shared" ref="D502:L502" si="213">+D336</f>
        <v>378295.19</v>
      </c>
      <c r="E502" s="217">
        <f t="shared" si="213"/>
        <v>410022.55</v>
      </c>
      <c r="F502" s="217">
        <f t="shared" si="213"/>
        <v>470912.92</v>
      </c>
      <c r="G502" s="217">
        <f t="shared" si="213"/>
        <v>515795.31</v>
      </c>
      <c r="H502" s="217">
        <f t="shared" si="213"/>
        <v>3646.95</v>
      </c>
      <c r="I502" s="217">
        <f t="shared" si="213"/>
        <v>0</v>
      </c>
      <c r="J502" s="217">
        <f t="shared" si="213"/>
        <v>0</v>
      </c>
      <c r="K502" s="217">
        <f t="shared" si="213"/>
        <v>0</v>
      </c>
      <c r="L502" s="217">
        <f t="shared" si="213"/>
        <v>38530.44733048269</v>
      </c>
      <c r="M502" s="217">
        <f t="shared" si="177"/>
        <v>38530.44733048269</v>
      </c>
      <c r="N502" s="217"/>
    </row>
    <row r="503" spans="1:14" s="268" customFormat="1" x14ac:dyDescent="0.2">
      <c r="A503" s="195"/>
      <c r="B503" s="194" t="s">
        <v>814</v>
      </c>
      <c r="C503" s="357">
        <f t="shared" ref="C503:L503" si="214">+C338</f>
        <v>794771.08000000007</v>
      </c>
      <c r="D503" s="357">
        <f t="shared" si="214"/>
        <v>500884.3</v>
      </c>
      <c r="E503" s="357">
        <f t="shared" si="214"/>
        <v>728810.60000000009</v>
      </c>
      <c r="F503" s="357">
        <f t="shared" si="214"/>
        <v>1089936.8800000001</v>
      </c>
      <c r="G503" s="357">
        <f t="shared" si="214"/>
        <v>1174107.5999999999</v>
      </c>
      <c r="H503" s="357">
        <f t="shared" si="214"/>
        <v>204521.98</v>
      </c>
      <c r="I503" s="357">
        <f t="shared" si="214"/>
        <v>279972.59000000003</v>
      </c>
      <c r="J503" s="357">
        <f t="shared" si="214"/>
        <v>46282.95</v>
      </c>
      <c r="K503" s="357">
        <f t="shared" si="214"/>
        <v>-6612.97</v>
      </c>
      <c r="L503" s="357">
        <f t="shared" si="214"/>
        <v>78584.783660119545</v>
      </c>
      <c r="M503" s="357">
        <f t="shared" si="177"/>
        <v>85197.753660119546</v>
      </c>
      <c r="N503" s="357"/>
    </row>
    <row r="504" spans="1:14" s="268" customFormat="1" x14ac:dyDescent="0.2">
      <c r="A504" s="195"/>
      <c r="B504" s="194" t="s">
        <v>813</v>
      </c>
      <c r="C504" s="357">
        <f t="shared" ref="C504:L504" si="215">+C500-C503</f>
        <v>321710.92000000179</v>
      </c>
      <c r="D504" s="357">
        <f t="shared" si="215"/>
        <v>-401999.26999999973</v>
      </c>
      <c r="E504" s="357">
        <f t="shared" si="215"/>
        <v>-229182.41999999946</v>
      </c>
      <c r="F504" s="357">
        <f t="shared" si="215"/>
        <v>-422860.82000000053</v>
      </c>
      <c r="G504" s="357">
        <f t="shared" si="215"/>
        <v>-377157.47999999882</v>
      </c>
      <c r="H504" s="357">
        <f t="shared" si="215"/>
        <v>-327181.84999999916</v>
      </c>
      <c r="I504" s="357">
        <f t="shared" si="215"/>
        <v>-1036862.6099999996</v>
      </c>
      <c r="J504" s="357">
        <f t="shared" si="215"/>
        <v>-633992.07999999938</v>
      </c>
      <c r="K504" s="357">
        <f t="shared" si="215"/>
        <v>-952161.54999999981</v>
      </c>
      <c r="L504" s="357">
        <f t="shared" si="215"/>
        <v>32950.020187021088</v>
      </c>
      <c r="M504" s="357">
        <f t="shared" si="177"/>
        <v>985111.57018702093</v>
      </c>
      <c r="N504" s="357"/>
    </row>
    <row r="505" spans="1:14" s="268" customFormat="1" x14ac:dyDescent="0.2">
      <c r="A505" s="195"/>
      <c r="B505" s="194" t="s">
        <v>812</v>
      </c>
      <c r="C505" s="357">
        <f t="shared" ref="C505:L505" si="216">+C330</f>
        <v>-58300.58</v>
      </c>
      <c r="D505" s="357">
        <f t="shared" si="216"/>
        <v>-31492.449999999997</v>
      </c>
      <c r="E505" s="357">
        <f t="shared" si="216"/>
        <v>-39097.4</v>
      </c>
      <c r="F505" s="357">
        <f t="shared" si="216"/>
        <v>-25057.040000000001</v>
      </c>
      <c r="G505" s="357">
        <f t="shared" si="216"/>
        <v>-73554.36</v>
      </c>
      <c r="H505" s="357">
        <f t="shared" si="216"/>
        <v>-18460.449999999997</v>
      </c>
      <c r="I505" s="357">
        <f t="shared" si="216"/>
        <v>-10133.030000000001</v>
      </c>
      <c r="J505" s="357">
        <f t="shared" si="216"/>
        <v>-110472.56</v>
      </c>
      <c r="K505" s="357">
        <f t="shared" si="216"/>
        <v>-50084.93</v>
      </c>
      <c r="L505" s="357">
        <f t="shared" si="216"/>
        <v>165</v>
      </c>
      <c r="M505" s="357">
        <f t="shared" si="177"/>
        <v>50249.93</v>
      </c>
      <c r="N505" s="357"/>
    </row>
    <row r="506" spans="1:14" s="268" customFormat="1" x14ac:dyDescent="0.2">
      <c r="A506" s="195"/>
      <c r="B506" s="194" t="s">
        <v>811</v>
      </c>
      <c r="C506" s="357">
        <f t="shared" ref="C506:L506" si="217">+C504-C505</f>
        <v>380011.5000000018</v>
      </c>
      <c r="D506" s="357">
        <f t="shared" si="217"/>
        <v>-370506.81999999972</v>
      </c>
      <c r="E506" s="357">
        <f t="shared" si="217"/>
        <v>-190085.01999999947</v>
      </c>
      <c r="F506" s="357">
        <f t="shared" si="217"/>
        <v>-397803.78000000055</v>
      </c>
      <c r="G506" s="357">
        <f t="shared" si="217"/>
        <v>-303603.11999999883</v>
      </c>
      <c r="H506" s="357">
        <f t="shared" si="217"/>
        <v>-308721.39999999915</v>
      </c>
      <c r="I506" s="357">
        <f t="shared" si="217"/>
        <v>-1026729.5799999996</v>
      </c>
      <c r="J506" s="357">
        <f t="shared" si="217"/>
        <v>-523519.51999999938</v>
      </c>
      <c r="K506" s="357">
        <f t="shared" si="217"/>
        <v>-902076.61999999976</v>
      </c>
      <c r="L506" s="357">
        <f t="shared" si="217"/>
        <v>32785.020187021088</v>
      </c>
      <c r="M506" s="357">
        <f t="shared" si="177"/>
        <v>934861.64018702088</v>
      </c>
      <c r="N506" s="357"/>
    </row>
    <row r="507" spans="1:14" s="268" customFormat="1" x14ac:dyDescent="0.2">
      <c r="A507" s="195"/>
      <c r="B507" s="194" t="s">
        <v>810</v>
      </c>
      <c r="C507" s="357">
        <f t="shared" ref="C507:L507" si="218">+C342</f>
        <v>302328</v>
      </c>
      <c r="D507" s="357">
        <f t="shared" si="218"/>
        <v>43349</v>
      </c>
      <c r="E507" s="357">
        <f t="shared" si="218"/>
        <v>129661</v>
      </c>
      <c r="F507" s="357">
        <f t="shared" si="218"/>
        <v>72175</v>
      </c>
      <c r="G507" s="357">
        <f t="shared" si="218"/>
        <v>143553</v>
      </c>
      <c r="H507" s="357">
        <f t="shared" si="218"/>
        <v>165869</v>
      </c>
      <c r="I507" s="357">
        <f t="shared" si="218"/>
        <v>0</v>
      </c>
      <c r="J507" s="357">
        <f t="shared" si="218"/>
        <v>0</v>
      </c>
      <c r="K507" s="357">
        <f t="shared" si="218"/>
        <v>-210854</v>
      </c>
      <c r="L507" s="357">
        <f t="shared" si="218"/>
        <v>105845.44615384613</v>
      </c>
      <c r="M507" s="357">
        <f t="shared" si="177"/>
        <v>316699.4461538461</v>
      </c>
      <c r="N507" s="357"/>
    </row>
    <row r="508" spans="1:14" s="268" customFormat="1" x14ac:dyDescent="0.2">
      <c r="A508" s="195"/>
      <c r="B508" s="194" t="s">
        <v>809</v>
      </c>
      <c r="C508" s="357">
        <f t="shared" ref="C508:L508" si="219">+C506-C507</f>
        <v>77683.500000001804</v>
      </c>
      <c r="D508" s="357">
        <f t="shared" si="219"/>
        <v>-413855.81999999972</v>
      </c>
      <c r="E508" s="357">
        <f t="shared" si="219"/>
        <v>-319746.01999999944</v>
      </c>
      <c r="F508" s="357">
        <f t="shared" si="219"/>
        <v>-469978.78000000055</v>
      </c>
      <c r="G508" s="357">
        <f t="shared" si="219"/>
        <v>-447156.11999999883</v>
      </c>
      <c r="H508" s="357">
        <f t="shared" si="219"/>
        <v>-474590.39999999915</v>
      </c>
      <c r="I508" s="357">
        <f t="shared" si="219"/>
        <v>-1026729.5799999996</v>
      </c>
      <c r="J508" s="357">
        <f t="shared" si="219"/>
        <v>-523519.51999999938</v>
      </c>
      <c r="K508" s="357">
        <f t="shared" si="219"/>
        <v>-691222.61999999976</v>
      </c>
      <c r="L508" s="357">
        <f t="shared" si="219"/>
        <v>-73060.425966825045</v>
      </c>
      <c r="M508" s="357">
        <f t="shared" si="177"/>
        <v>618162.19403317478</v>
      </c>
      <c r="N508" s="357"/>
    </row>
    <row r="509" spans="1:14" s="268" customFormat="1" x14ac:dyDescent="0.2">
      <c r="A509" s="195"/>
      <c r="B509" s="194" t="s">
        <v>808</v>
      </c>
      <c r="C509" s="357">
        <v>837142</v>
      </c>
      <c r="D509" s="357">
        <v>794381</v>
      </c>
      <c r="E509" s="357">
        <v>905291</v>
      </c>
      <c r="F509" s="357">
        <v>956520</v>
      </c>
      <c r="G509" s="357">
        <v>713654</v>
      </c>
      <c r="H509" s="357">
        <v>713654</v>
      </c>
      <c r="I509" s="357">
        <v>713654</v>
      </c>
      <c r="J509" s="357">
        <v>713655</v>
      </c>
      <c r="K509" s="357">
        <v>713655</v>
      </c>
      <c r="L509" s="357"/>
      <c r="M509" s="357">
        <f t="shared" si="177"/>
        <v>-713655</v>
      </c>
      <c r="N509" s="357"/>
    </row>
    <row r="510" spans="1:14" s="268" customFormat="1" x14ac:dyDescent="0.2">
      <c r="A510" s="195"/>
      <c r="B510" s="194" t="s">
        <v>807</v>
      </c>
      <c r="C510" s="357">
        <f t="shared" ref="C510:K510" si="220">+C509/C511</f>
        <v>19894.520845426297</v>
      </c>
      <c r="D510" s="357">
        <f t="shared" si="220"/>
        <v>18164.266256252402</v>
      </c>
      <c r="E510" s="357">
        <f t="shared" si="220"/>
        <v>19293.359544368916</v>
      </c>
      <c r="F510" s="357">
        <f t="shared" si="220"/>
        <v>20737.130338175284</v>
      </c>
      <c r="G510" s="357">
        <f t="shared" si="220"/>
        <v>14165.078063804707</v>
      </c>
      <c r="H510" s="357">
        <f t="shared" si="220"/>
        <v>13099.958698603145</v>
      </c>
      <c r="I510" s="357">
        <f t="shared" si="220"/>
        <v>21057.414495056248</v>
      </c>
      <c r="J510" s="357">
        <f t="shared" si="220"/>
        <v>25627.609543869341</v>
      </c>
      <c r="K510" s="357">
        <f t="shared" si="220"/>
        <v>35455.189051042587</v>
      </c>
      <c r="L510" s="357"/>
      <c r="M510" s="357">
        <f t="shared" si="177"/>
        <v>-35455.189051042587</v>
      </c>
      <c r="N510" s="357"/>
    </row>
    <row r="511" spans="1:14" s="268" customFormat="1" x14ac:dyDescent="0.2">
      <c r="A511" s="195"/>
      <c r="B511" s="194" t="s">
        <v>208</v>
      </c>
      <c r="C511" s="361">
        <f t="shared" ref="C511:L511" si="221">+C397</f>
        <v>42.079022988505749</v>
      </c>
      <c r="D511" s="361">
        <f t="shared" si="221"/>
        <v>43.73317307692308</v>
      </c>
      <c r="E511" s="361">
        <f t="shared" si="221"/>
        <v>46.922413793103445</v>
      </c>
      <c r="F511" s="361">
        <f t="shared" si="221"/>
        <v>46.125957854406131</v>
      </c>
      <c r="G511" s="361">
        <f t="shared" si="221"/>
        <v>50.38122605363985</v>
      </c>
      <c r="H511" s="361">
        <f t="shared" si="221"/>
        <v>54.477576335877863</v>
      </c>
      <c r="I511" s="361">
        <f t="shared" si="221"/>
        <v>33.890865384615381</v>
      </c>
      <c r="J511" s="361">
        <f t="shared" si="221"/>
        <v>27.847115384615385</v>
      </c>
      <c r="K511" s="361">
        <f t="shared" si="221"/>
        <v>20.128365384615385</v>
      </c>
      <c r="L511" s="361">
        <f t="shared" si="221"/>
        <v>18.633587786259543</v>
      </c>
      <c r="M511" s="361">
        <f t="shared" si="177"/>
        <v>-1.4947775983558422</v>
      </c>
      <c r="N511" s="361"/>
    </row>
    <row r="512" spans="1:14" s="268" customFormat="1" x14ac:dyDescent="0.2">
      <c r="A512" s="195"/>
      <c r="B512" s="194" t="s">
        <v>806</v>
      </c>
      <c r="C512" s="361">
        <v>0</v>
      </c>
      <c r="D512" s="361">
        <f t="shared" ref="D512:K512" si="222">+D511-C511</f>
        <v>1.6541500884173317</v>
      </c>
      <c r="E512" s="361">
        <f t="shared" si="222"/>
        <v>3.1892407161803646</v>
      </c>
      <c r="F512" s="361">
        <f t="shared" si="222"/>
        <v>-0.79645593869731357</v>
      </c>
      <c r="G512" s="361">
        <f t="shared" si="222"/>
        <v>4.2552681992337185</v>
      </c>
      <c r="H512" s="361">
        <f t="shared" si="222"/>
        <v>4.0963502822380136</v>
      </c>
      <c r="I512" s="361">
        <f t="shared" si="222"/>
        <v>-20.586710951262482</v>
      </c>
      <c r="J512" s="361">
        <f t="shared" si="222"/>
        <v>-6.0437499999999957</v>
      </c>
      <c r="K512" s="361">
        <f t="shared" si="222"/>
        <v>-7.71875</v>
      </c>
      <c r="L512" s="361">
        <f>+L511-G511</f>
        <v>-31.747638267380307</v>
      </c>
      <c r="M512" s="361">
        <f t="shared" si="177"/>
        <v>-24.028888267380307</v>
      </c>
      <c r="N512" s="361"/>
    </row>
    <row r="513" spans="1:14" s="268" customFormat="1" x14ac:dyDescent="0.2">
      <c r="A513" s="195"/>
      <c r="B513" s="194" t="s">
        <v>805</v>
      </c>
      <c r="C513" s="362">
        <v>0</v>
      </c>
      <c r="D513" s="362">
        <f t="shared" ref="D513:K513" si="223">+D512/C511</f>
        <v>3.9310563100982104E-2</v>
      </c>
      <c r="E513" s="362">
        <f t="shared" si="223"/>
        <v>7.2924978724291295E-2</v>
      </c>
      <c r="F513" s="362">
        <f t="shared" si="223"/>
        <v>-1.6973891032314604E-2</v>
      </c>
      <c r="G513" s="362">
        <f t="shared" si="223"/>
        <v>9.225322133505004E-2</v>
      </c>
      <c r="H513" s="362">
        <f t="shared" si="223"/>
        <v>8.1307078114310163E-2</v>
      </c>
      <c r="I513" s="362">
        <f t="shared" si="223"/>
        <v>-0.37789329731441224</v>
      </c>
      <c r="J513" s="362">
        <f t="shared" si="223"/>
        <v>-0.17832976323890304</v>
      </c>
      <c r="K513" s="362">
        <f t="shared" si="223"/>
        <v>-0.2771831083180829</v>
      </c>
      <c r="L513" s="362">
        <f>+L512/G511</f>
        <v>-0.63014818721519905</v>
      </c>
      <c r="M513" s="362">
        <f t="shared" si="177"/>
        <v>-0.35296507889711615</v>
      </c>
      <c r="N513" s="361"/>
    </row>
    <row r="514" spans="1:14" s="268" customFormat="1" x14ac:dyDescent="0.2">
      <c r="A514" s="195"/>
      <c r="B514" s="194" t="s">
        <v>804</v>
      </c>
      <c r="C514" s="357"/>
      <c r="D514" s="357"/>
      <c r="E514" s="357"/>
      <c r="F514" s="357"/>
      <c r="G514" s="357"/>
      <c r="H514" s="357"/>
      <c r="I514" s="357"/>
      <c r="J514" s="357"/>
      <c r="K514" s="357"/>
      <c r="L514" s="357"/>
      <c r="M514" s="357">
        <f t="shared" si="177"/>
        <v>0</v>
      </c>
      <c r="N514" s="357"/>
    </row>
    <row r="515" spans="1:14" s="268" customFormat="1" x14ac:dyDescent="0.2">
      <c r="A515" s="195"/>
      <c r="B515" s="194" t="s">
        <v>803</v>
      </c>
      <c r="C515" s="362">
        <f t="shared" ref="C515:L515" si="224">+C496/C499</f>
        <v>0.57619401451209262</v>
      </c>
      <c r="D515" s="362">
        <f t="shared" si="224"/>
        <v>0.56030770585733325</v>
      </c>
      <c r="E515" s="362">
        <f t="shared" si="224"/>
        <v>0.57242759606427673</v>
      </c>
      <c r="F515" s="362">
        <f t="shared" si="224"/>
        <v>0.56381920980089806</v>
      </c>
      <c r="G515" s="362">
        <f t="shared" si="224"/>
        <v>0.55078084757084989</v>
      </c>
      <c r="H515" s="362">
        <f t="shared" si="224"/>
        <v>0.56717996070214483</v>
      </c>
      <c r="I515" s="362">
        <f t="shared" si="224"/>
        <v>0.53258525172422377</v>
      </c>
      <c r="J515" s="362">
        <f t="shared" si="224"/>
        <v>0.5259406439680312</v>
      </c>
      <c r="K515" s="362">
        <f t="shared" si="224"/>
        <v>0.52731861739400865</v>
      </c>
      <c r="L515" s="362">
        <f t="shared" si="224"/>
        <v>0.56654562084900761</v>
      </c>
      <c r="M515" s="362">
        <f t="shared" si="177"/>
        <v>3.9227003454998965E-2</v>
      </c>
      <c r="N515" s="362"/>
    </row>
    <row r="516" spans="1:14" s="268" customFormat="1" x14ac:dyDescent="0.2">
      <c r="A516" s="195"/>
      <c r="B516" s="194" t="s">
        <v>802</v>
      </c>
      <c r="C516" s="362">
        <f t="shared" ref="C516:L516" si="225">+(C496+C497)/C499</f>
        <v>0.68271913761106373</v>
      </c>
      <c r="D516" s="362">
        <f t="shared" si="225"/>
        <v>0.67062612028065871</v>
      </c>
      <c r="E516" s="362">
        <f t="shared" si="225"/>
        <v>0.69357721932977512</v>
      </c>
      <c r="F516" s="362">
        <f t="shared" si="225"/>
        <v>0.68818348394535278</v>
      </c>
      <c r="G516" s="362">
        <f t="shared" si="225"/>
        <v>0.67688771332145692</v>
      </c>
      <c r="H516" s="362">
        <f t="shared" si="225"/>
        <v>0.69902733379197435</v>
      </c>
      <c r="I516" s="362">
        <f t="shared" si="225"/>
        <v>0.67814497603692125</v>
      </c>
      <c r="J516" s="362">
        <f t="shared" si="225"/>
        <v>0.66964183586927051</v>
      </c>
      <c r="K516" s="362">
        <f t="shared" si="225"/>
        <v>0.6516283307512919</v>
      </c>
      <c r="L516" s="362">
        <f t="shared" si="225"/>
        <v>0.68513537554549475</v>
      </c>
      <c r="M516" s="362">
        <f t="shared" si="177"/>
        <v>3.3507044794202856E-2</v>
      </c>
      <c r="N516" s="362"/>
    </row>
    <row r="517" spans="1:14" s="268" customFormat="1" x14ac:dyDescent="0.2">
      <c r="A517" s="195"/>
      <c r="B517" s="194" t="s">
        <v>801</v>
      </c>
      <c r="C517" s="362">
        <f t="shared" ref="C517:L517" si="226">+C498/C499</f>
        <v>0.31728086238893638</v>
      </c>
      <c r="D517" s="362">
        <f t="shared" si="226"/>
        <v>0.32937387971934129</v>
      </c>
      <c r="E517" s="362">
        <f t="shared" si="226"/>
        <v>0.30642278067022483</v>
      </c>
      <c r="F517" s="362">
        <f t="shared" si="226"/>
        <v>0.31181651605464722</v>
      </c>
      <c r="G517" s="362">
        <f t="shared" si="226"/>
        <v>0.32311228667854308</v>
      </c>
      <c r="H517" s="362">
        <f t="shared" si="226"/>
        <v>0.30097266620802565</v>
      </c>
      <c r="I517" s="362">
        <f t="shared" si="226"/>
        <v>0.3218550239630788</v>
      </c>
      <c r="J517" s="362">
        <f t="shared" si="226"/>
        <v>0.3303581641307296</v>
      </c>
      <c r="K517" s="362">
        <f t="shared" si="226"/>
        <v>0.34837166924870816</v>
      </c>
      <c r="L517" s="362">
        <f t="shared" si="226"/>
        <v>0.31486462445450508</v>
      </c>
      <c r="M517" s="362">
        <f t="shared" si="177"/>
        <v>-3.3507044794203078E-2</v>
      </c>
      <c r="N517" s="362"/>
    </row>
    <row r="518" spans="1:14" s="268" customFormat="1" x14ac:dyDescent="0.2">
      <c r="A518" s="195"/>
      <c r="B518" s="194"/>
      <c r="C518" s="362"/>
      <c r="D518" s="362"/>
      <c r="E518" s="362"/>
      <c r="F518" s="362"/>
      <c r="G518" s="362"/>
      <c r="H518" s="362"/>
      <c r="I518" s="362"/>
      <c r="J518" s="362"/>
      <c r="K518" s="362"/>
      <c r="L518" s="362"/>
      <c r="M518" s="362">
        <f t="shared" si="177"/>
        <v>0</v>
      </c>
      <c r="N518" s="362"/>
    </row>
    <row r="519" spans="1:14" s="268" customFormat="1" x14ac:dyDescent="0.2">
      <c r="A519" s="195"/>
      <c r="B519" s="194" t="s">
        <v>800</v>
      </c>
      <c r="C519" s="362">
        <f t="shared" ref="C519:L519" si="227">+(C496+C497+C503)/(C499+C503)</f>
        <v>0.7381639990039498</v>
      </c>
      <c r="D519" s="362">
        <f t="shared" si="227"/>
        <v>0.70560174292686861</v>
      </c>
      <c r="E519" s="362">
        <f t="shared" si="227"/>
        <v>0.73727712245073374</v>
      </c>
      <c r="F519" s="362">
        <f t="shared" si="227"/>
        <v>0.74670545717367642</v>
      </c>
      <c r="G519" s="362">
        <f t="shared" si="227"/>
        <v>0.73445717332756177</v>
      </c>
      <c r="H519" s="362">
        <f t="shared" si="227"/>
        <v>0.7091419326428251</v>
      </c>
      <c r="I519" s="362">
        <f t="shared" si="227"/>
        <v>0.69989901853958192</v>
      </c>
      <c r="J519" s="362">
        <f t="shared" si="227"/>
        <v>0.67429969520289235</v>
      </c>
      <c r="K519" s="362">
        <f t="shared" si="227"/>
        <v>0.6506163955670452</v>
      </c>
      <c r="L519" s="362">
        <f t="shared" si="227"/>
        <v>0.69599002037115376</v>
      </c>
      <c r="M519" s="362">
        <f t="shared" si="177"/>
        <v>4.5373624804108559E-2</v>
      </c>
      <c r="N519" s="362"/>
    </row>
    <row r="520" spans="1:14" s="268" customFormat="1" x14ac:dyDescent="0.2">
      <c r="A520" s="195"/>
      <c r="B520" s="194" t="s">
        <v>799</v>
      </c>
      <c r="C520" s="362"/>
      <c r="D520" s="362"/>
      <c r="E520" s="362"/>
      <c r="F520" s="362"/>
      <c r="G520" s="362"/>
      <c r="H520" s="362"/>
      <c r="I520" s="362"/>
      <c r="J520" s="362"/>
      <c r="K520" s="362"/>
      <c r="L520" s="362"/>
      <c r="M520" s="362">
        <f t="shared" si="177"/>
        <v>0</v>
      </c>
      <c r="N520" s="362"/>
    </row>
    <row r="521" spans="1:14" s="268" customFormat="1" x14ac:dyDescent="0.2">
      <c r="A521" s="195"/>
      <c r="B521" s="194" t="s">
        <v>798</v>
      </c>
      <c r="C521" s="362">
        <f t="shared" ref="C521:L521" si="228">+C498/C495</f>
        <v>0.24453831209861518</v>
      </c>
      <c r="D521" s="362">
        <f t="shared" si="228"/>
        <v>0.32182566873263235</v>
      </c>
      <c r="E521" s="362">
        <f t="shared" si="228"/>
        <v>0.27505820402347902</v>
      </c>
      <c r="F521" s="362">
        <f t="shared" si="228"/>
        <v>0.27318638462661665</v>
      </c>
      <c r="G521" s="362">
        <f t="shared" si="228"/>
        <v>0.28166353556317175</v>
      </c>
      <c r="H521" s="362">
        <f t="shared" si="228"/>
        <v>0.30738344112147836</v>
      </c>
      <c r="I521" s="362">
        <f t="shared" si="228"/>
        <v>0.40030230861483235</v>
      </c>
      <c r="J521" s="362">
        <f t="shared" si="228"/>
        <v>0.40366215992035309</v>
      </c>
      <c r="K521" s="362">
        <f t="shared" si="228"/>
        <v>0.60056152411972463</v>
      </c>
      <c r="L521" s="362">
        <f t="shared" si="228"/>
        <v>0.29967822194770477</v>
      </c>
      <c r="M521" s="362">
        <f t="shared" si="177"/>
        <v>-0.30088330217201986</v>
      </c>
      <c r="N521" s="362"/>
    </row>
    <row r="522" spans="1:14" s="268" customFormat="1" x14ac:dyDescent="0.2">
      <c r="A522" s="195"/>
      <c r="B522" s="194" t="s">
        <v>47</v>
      </c>
      <c r="C522" s="362">
        <f t="shared" ref="C522:L522" si="229">+C496/C495</f>
        <v>0.44409079920297573</v>
      </c>
      <c r="D522" s="362">
        <f t="shared" si="229"/>
        <v>0.54746721958412359</v>
      </c>
      <c r="E522" s="362">
        <f t="shared" si="229"/>
        <v>0.51383551236801706</v>
      </c>
      <c r="F522" s="362">
        <f t="shared" si="229"/>
        <v>0.49396912471932425</v>
      </c>
      <c r="G522" s="362">
        <f t="shared" si="229"/>
        <v>0.48012683900697983</v>
      </c>
      <c r="H522" s="362">
        <f t="shared" si="229"/>
        <v>0.57926100151323712</v>
      </c>
      <c r="I522" s="362">
        <f t="shared" si="229"/>
        <v>0.66239483595531756</v>
      </c>
      <c r="J522" s="362">
        <f t="shared" si="229"/>
        <v>0.64264292330315909</v>
      </c>
      <c r="K522" s="362">
        <f t="shared" si="229"/>
        <v>0.90905001902655758</v>
      </c>
      <c r="L522" s="362">
        <f t="shared" si="229"/>
        <v>0.53922025887293945</v>
      </c>
      <c r="M522" s="362">
        <f t="shared" ref="M522:M572" si="230">+L522-K522</f>
        <v>-0.36982976015361813</v>
      </c>
      <c r="N522" s="362"/>
    </row>
    <row r="523" spans="1:14" s="268" customFormat="1" x14ac:dyDescent="0.2">
      <c r="A523" s="195"/>
      <c r="B523" s="194" t="s">
        <v>797</v>
      </c>
      <c r="C523" s="362">
        <f t="shared" ref="C523:L523" si="231">+(C496+C497)/C495</f>
        <v>0.52619305271610139</v>
      </c>
      <c r="D523" s="362">
        <f t="shared" si="231"/>
        <v>0.65525748372274528</v>
      </c>
      <c r="E523" s="362">
        <f t="shared" si="231"/>
        <v>0.62258459988899939</v>
      </c>
      <c r="F523" s="362">
        <f t="shared" si="231"/>
        <v>0.60292623468935158</v>
      </c>
      <c r="G523" s="362">
        <f t="shared" si="231"/>
        <v>0.59005675232359711</v>
      </c>
      <c r="H523" s="362">
        <f t="shared" si="231"/>
        <v>0.71391674867390231</v>
      </c>
      <c r="I523" s="362">
        <f t="shared" si="231"/>
        <v>0.84343253723536793</v>
      </c>
      <c r="J523" s="362">
        <f t="shared" si="231"/>
        <v>0.81823033056041983</v>
      </c>
      <c r="K523" s="362">
        <f t="shared" si="231"/>
        <v>1.123348819723345</v>
      </c>
      <c r="L523" s="362">
        <f t="shared" si="231"/>
        <v>0.65209024828577922</v>
      </c>
      <c r="M523" s="362">
        <f t="shared" si="230"/>
        <v>-0.47125857143756578</v>
      </c>
      <c r="N523" s="362"/>
    </row>
    <row r="524" spans="1:14" s="268" customFormat="1" x14ac:dyDescent="0.2">
      <c r="A524" s="195"/>
      <c r="B524" s="194" t="s">
        <v>796</v>
      </c>
      <c r="C524" s="362">
        <f t="shared" ref="C524:L524" si="232">+(C496+C497+C503)/C495</f>
        <v>0.68939862235030369</v>
      </c>
      <c r="D524" s="362">
        <f t="shared" si="232"/>
        <v>0.77133864525543505</v>
      </c>
      <c r="E524" s="362">
        <f t="shared" si="232"/>
        <v>0.77189365106154162</v>
      </c>
      <c r="F524" s="362">
        <f t="shared" si="232"/>
        <v>0.80534606845482337</v>
      </c>
      <c r="G524" s="362">
        <f t="shared" si="232"/>
        <v>0.7790449727130444</v>
      </c>
      <c r="H524" s="362">
        <f t="shared" si="232"/>
        <v>0.74943249633715259</v>
      </c>
      <c r="I524" s="362">
        <f t="shared" si="232"/>
        <v>0.93358972554910913</v>
      </c>
      <c r="J524" s="362">
        <f t="shared" si="232"/>
        <v>0.83570468737753645</v>
      </c>
      <c r="K524" s="362">
        <f t="shared" si="232"/>
        <v>1.118355781958299</v>
      </c>
      <c r="L524" s="362">
        <f t="shared" si="232"/>
        <v>0.68607304290738325</v>
      </c>
      <c r="M524" s="362">
        <f t="shared" si="230"/>
        <v>-0.43228273905091574</v>
      </c>
      <c r="N524" s="362"/>
    </row>
    <row r="525" spans="1:14" s="268" customFormat="1" x14ac:dyDescent="0.2">
      <c r="A525" s="195"/>
      <c r="B525" s="194" t="s">
        <v>795</v>
      </c>
      <c r="C525" s="362">
        <f t="shared" ref="C525:L525" si="233">+C500/C495</f>
        <v>0.22926863518528348</v>
      </c>
      <c r="D525" s="362">
        <f t="shared" si="233"/>
        <v>2.291684754462241E-2</v>
      </c>
      <c r="E525" s="362">
        <f t="shared" si="233"/>
        <v>0.1023571960875215</v>
      </c>
      <c r="F525" s="362">
        <f t="shared" si="233"/>
        <v>0.12388738068403173</v>
      </c>
      <c r="G525" s="362">
        <f t="shared" si="233"/>
        <v>0.12827971211323108</v>
      </c>
      <c r="H525" s="362">
        <f t="shared" si="233"/>
        <v>-2.1300189795380686E-2</v>
      </c>
      <c r="I525" s="362">
        <f t="shared" si="233"/>
        <v>-0.2437348458502003</v>
      </c>
      <c r="J525" s="362">
        <f t="shared" si="233"/>
        <v>-0.22189249048077289</v>
      </c>
      <c r="K525" s="362">
        <f t="shared" si="233"/>
        <v>-0.72391034384306963</v>
      </c>
      <c r="L525" s="362">
        <f t="shared" si="233"/>
        <v>4.8231529766515902E-2</v>
      </c>
      <c r="M525" s="362">
        <f t="shared" si="230"/>
        <v>0.77214187360958553</v>
      </c>
      <c r="N525" s="362">
        <v>0.14000000000000001</v>
      </c>
    </row>
    <row r="526" spans="1:14" s="268" customFormat="1" x14ac:dyDescent="0.2">
      <c r="A526" s="195"/>
      <c r="B526" s="194" t="s">
        <v>794</v>
      </c>
      <c r="C526" s="362">
        <f t="shared" ref="C526:L526" si="234">+C504/C495</f>
        <v>6.6063065551081171E-2</v>
      </c>
      <c r="D526" s="362">
        <f t="shared" si="234"/>
        <v>-9.316431398806746E-2</v>
      </c>
      <c r="E526" s="362">
        <f t="shared" si="234"/>
        <v>-4.6951855085020672E-2</v>
      </c>
      <c r="F526" s="362">
        <f t="shared" si="234"/>
        <v>-7.8532453081440093E-2</v>
      </c>
      <c r="G526" s="362">
        <f t="shared" si="234"/>
        <v>-6.0708508276216204E-2</v>
      </c>
      <c r="H526" s="362">
        <f t="shared" si="234"/>
        <v>-5.681593745863095E-2</v>
      </c>
      <c r="I526" s="362">
        <f t="shared" si="234"/>
        <v>-0.33389203416394159</v>
      </c>
      <c r="J526" s="362">
        <f t="shared" si="234"/>
        <v>-0.23936684729788937</v>
      </c>
      <c r="K526" s="362">
        <f t="shared" si="234"/>
        <v>-0.71891730607802362</v>
      </c>
      <c r="L526" s="362">
        <f t="shared" si="234"/>
        <v>1.4248735144911897E-2</v>
      </c>
      <c r="M526" s="362">
        <f t="shared" si="230"/>
        <v>0.73316604122293549</v>
      </c>
      <c r="N526" s="362">
        <v>5.6000000000000001E-2</v>
      </c>
    </row>
    <row r="527" spans="1:14" s="268" customFormat="1" x14ac:dyDescent="0.2">
      <c r="A527" s="195"/>
      <c r="B527" s="194" t="s">
        <v>793</v>
      </c>
      <c r="C527" s="362">
        <f t="shared" ref="C527:L527" si="235">+C503/C495</f>
        <v>0.16320556963420232</v>
      </c>
      <c r="D527" s="362">
        <f t="shared" si="235"/>
        <v>0.11608116153268988</v>
      </c>
      <c r="E527" s="362">
        <f t="shared" si="235"/>
        <v>0.14930905117254217</v>
      </c>
      <c r="F527" s="362">
        <f t="shared" si="235"/>
        <v>0.20241983376547182</v>
      </c>
      <c r="G527" s="362">
        <f t="shared" si="235"/>
        <v>0.18898822038944729</v>
      </c>
      <c r="H527" s="362">
        <f t="shared" si="235"/>
        <v>3.5515747663250267E-2</v>
      </c>
      <c r="I527" s="362">
        <f t="shared" si="235"/>
        <v>9.0157188313741241E-2</v>
      </c>
      <c r="J527" s="362">
        <f t="shared" si="235"/>
        <v>1.7474356817116482E-2</v>
      </c>
      <c r="K527" s="362">
        <f t="shared" si="235"/>
        <v>-4.9930377650460565E-3</v>
      </c>
      <c r="L527" s="362">
        <f t="shared" si="235"/>
        <v>3.3982794621604001E-2</v>
      </c>
      <c r="M527" s="362">
        <f t="shared" si="230"/>
        <v>3.8975832386650061E-2</v>
      </c>
      <c r="N527" s="362"/>
    </row>
    <row r="528" spans="1:14" s="268" customFormat="1" x14ac:dyDescent="0.2">
      <c r="A528" s="195"/>
      <c r="B528" s="194" t="s">
        <v>792</v>
      </c>
      <c r="C528" s="362">
        <f t="shared" ref="C528:L528" si="236">+C508/C495</f>
        <v>1.595224107635981E-2</v>
      </c>
      <c r="D528" s="362">
        <f t="shared" si="236"/>
        <v>-9.5912098448012434E-2</v>
      </c>
      <c r="E528" s="362">
        <f t="shared" si="236"/>
        <v>-6.5505324514210692E-2</v>
      </c>
      <c r="F528" s="362">
        <f t="shared" si="236"/>
        <v>-8.7283060392359016E-2</v>
      </c>
      <c r="G528" s="362">
        <f t="shared" si="236"/>
        <v>-7.1975719563564647E-2</v>
      </c>
      <c r="H528" s="362">
        <f t="shared" si="236"/>
        <v>-8.2413796745958445E-2</v>
      </c>
      <c r="I528" s="362">
        <f t="shared" si="236"/>
        <v>-0.33062898082754605</v>
      </c>
      <c r="J528" s="362">
        <f t="shared" si="236"/>
        <v>-0.19765738556435014</v>
      </c>
      <c r="K528" s="362">
        <f t="shared" si="236"/>
        <v>-0.52189873017934119</v>
      </c>
      <c r="L528" s="362">
        <f t="shared" si="236"/>
        <v>-3.1593870148394869E-2</v>
      </c>
      <c r="M528" s="362">
        <f t="shared" si="230"/>
        <v>0.49030486003094631</v>
      </c>
      <c r="N528" s="362"/>
    </row>
    <row r="529" spans="1:14" x14ac:dyDescent="0.2">
      <c r="C529" s="362"/>
      <c r="D529" s="362"/>
      <c r="E529" s="362"/>
      <c r="F529" s="362"/>
      <c r="G529" s="362"/>
      <c r="H529" s="362"/>
      <c r="I529" s="362"/>
      <c r="J529" s="362"/>
      <c r="K529" s="362"/>
      <c r="L529" s="362"/>
      <c r="M529" s="362">
        <f t="shared" si="230"/>
        <v>0</v>
      </c>
      <c r="N529" s="362"/>
    </row>
    <row r="530" spans="1:14" s="268" customFormat="1" x14ac:dyDescent="0.2">
      <c r="A530" s="195"/>
      <c r="B530" s="194" t="s">
        <v>791</v>
      </c>
      <c r="C530" s="362">
        <f t="shared" ref="C530:L530" si="237">+C503/C496</f>
        <v>0.36750495602951622</v>
      </c>
      <c r="D530" s="362">
        <f t="shared" si="237"/>
        <v>0.21203308139776741</v>
      </c>
      <c r="E530" s="362">
        <f t="shared" si="237"/>
        <v>0.29057752447753105</v>
      </c>
      <c r="F530" s="362">
        <f t="shared" si="237"/>
        <v>0.40978236014343566</v>
      </c>
      <c r="G530" s="362">
        <f t="shared" si="237"/>
        <v>0.39362144549203149</v>
      </c>
      <c r="H530" s="362">
        <f t="shared" si="237"/>
        <v>6.1312167693786432E-2</v>
      </c>
      <c r="I530" s="362">
        <f t="shared" si="237"/>
        <v>0.13610792750779066</v>
      </c>
      <c r="J530" s="362">
        <f t="shared" si="237"/>
        <v>2.7191393826137514E-2</v>
      </c>
      <c r="K530" s="362">
        <f t="shared" si="237"/>
        <v>-5.4925885930817916E-3</v>
      </c>
      <c r="L530" s="362">
        <f t="shared" si="237"/>
        <v>6.3022102865040203E-2</v>
      </c>
      <c r="M530" s="362">
        <f t="shared" si="230"/>
        <v>6.8514691458122001E-2</v>
      </c>
      <c r="N530" s="362"/>
    </row>
    <row r="531" spans="1:14" s="268" customFormat="1" x14ac:dyDescent="0.2">
      <c r="A531" s="195"/>
      <c r="B531" s="194" t="s">
        <v>790</v>
      </c>
      <c r="C531" s="362">
        <f t="shared" ref="C531:L531" si="238">+C503/C500</f>
        <v>0.71185301688697067</v>
      </c>
      <c r="D531" s="362">
        <f t="shared" si="238"/>
        <v>5.0653197961309075</v>
      </c>
      <c r="E531" s="362">
        <f t="shared" si="238"/>
        <v>1.4587059520942136</v>
      </c>
      <c r="F531" s="362">
        <f t="shared" si="238"/>
        <v>1.6339019571471367</v>
      </c>
      <c r="G531" s="362">
        <f t="shared" si="238"/>
        <v>1.4732510486352626</v>
      </c>
      <c r="H531" s="362">
        <f t="shared" si="238"/>
        <v>-1.667391136155626</v>
      </c>
      <c r="I531" s="362">
        <f t="shared" si="238"/>
        <v>-0.36989864128476707</v>
      </c>
      <c r="J531" s="362">
        <f t="shared" si="238"/>
        <v>-7.8751456524080277E-2</v>
      </c>
      <c r="K531" s="362">
        <f t="shared" si="238"/>
        <v>6.8973151268141774E-3</v>
      </c>
      <c r="L531" s="362">
        <f t="shared" si="238"/>
        <v>0.7045763380533725</v>
      </c>
      <c r="M531" s="362">
        <f t="shared" si="230"/>
        <v>0.69767902292655837</v>
      </c>
      <c r="N531" s="362"/>
    </row>
    <row r="532" spans="1:14" x14ac:dyDescent="0.2">
      <c r="C532" s="362"/>
      <c r="D532" s="362"/>
      <c r="E532" s="362"/>
      <c r="F532" s="362"/>
      <c r="G532" s="362"/>
      <c r="H532" s="362"/>
      <c r="I532" s="362"/>
      <c r="J532" s="362"/>
      <c r="K532" s="362"/>
      <c r="L532" s="362"/>
      <c r="M532" s="362">
        <f t="shared" si="230"/>
        <v>0</v>
      </c>
      <c r="N532" s="362"/>
    </row>
    <row r="533" spans="1:14" s="268" customFormat="1" x14ac:dyDescent="0.2">
      <c r="A533" s="195"/>
      <c r="B533" s="194" t="s">
        <v>789</v>
      </c>
      <c r="C533" s="362">
        <f t="shared" ref="C533:L533" si="239">+C507/C506</f>
        <v>0.79557592336021032</v>
      </c>
      <c r="D533" s="362">
        <f t="shared" si="239"/>
        <v>-0.11699919585825716</v>
      </c>
      <c r="E533" s="362">
        <f t="shared" si="239"/>
        <v>-0.68212108455469223</v>
      </c>
      <c r="F533" s="362">
        <f t="shared" si="239"/>
        <v>-0.18143367064033403</v>
      </c>
      <c r="G533" s="362">
        <f t="shared" si="239"/>
        <v>-0.47283110924551947</v>
      </c>
      <c r="H533" s="362">
        <f t="shared" si="239"/>
        <v>-0.5372772992089323</v>
      </c>
      <c r="I533" s="362">
        <f t="shared" si="239"/>
        <v>0</v>
      </c>
      <c r="J533" s="362">
        <f t="shared" si="239"/>
        <v>0</v>
      </c>
      <c r="K533" s="362">
        <f t="shared" si="239"/>
        <v>0.2337428942565877</v>
      </c>
      <c r="L533" s="362">
        <f t="shared" si="239"/>
        <v>3.2284697569211245</v>
      </c>
      <c r="M533" s="362">
        <f t="shared" si="230"/>
        <v>2.9947268626645367</v>
      </c>
      <c r="N533" s="362"/>
    </row>
    <row r="534" spans="1:14" s="268" customFormat="1" x14ac:dyDescent="0.2">
      <c r="A534" s="195"/>
      <c r="B534" s="193" t="s">
        <v>788</v>
      </c>
      <c r="C534" s="362"/>
      <c r="D534" s="362"/>
      <c r="E534" s="362"/>
      <c r="F534" s="362"/>
      <c r="G534" s="362"/>
      <c r="H534" s="362"/>
      <c r="I534" s="362"/>
      <c r="J534" s="362"/>
      <c r="K534" s="362"/>
      <c r="L534" s="362"/>
      <c r="M534" s="362"/>
      <c r="N534" s="362"/>
    </row>
    <row r="535" spans="1:14" s="268" customFormat="1" x14ac:dyDescent="0.2">
      <c r="A535" s="195"/>
      <c r="B535" s="194" t="s">
        <v>787</v>
      </c>
      <c r="C535" s="362">
        <f t="shared" ref="C535:L535" si="240">+C500/C494</f>
        <v>0.14813330524208274</v>
      </c>
      <c r="D535" s="362">
        <f t="shared" si="240"/>
        <v>1.3359907767283361E-2</v>
      </c>
      <c r="E535" s="362">
        <f t="shared" si="240"/>
        <v>6.4942441826536232E-2</v>
      </c>
      <c r="F535" s="362">
        <f t="shared" si="240"/>
        <v>8.0345746502095944E-2</v>
      </c>
      <c r="G535" s="362">
        <f t="shared" si="240"/>
        <v>8.3112771829316034E-2</v>
      </c>
      <c r="H535" s="362">
        <f t="shared" si="240"/>
        <v>-1.3837269941154874E-2</v>
      </c>
      <c r="I535" s="362">
        <f t="shared" si="240"/>
        <v>-0.16082248110778372</v>
      </c>
      <c r="J535" s="362">
        <f t="shared" si="240"/>
        <v>-0.17008722181497796</v>
      </c>
      <c r="K535" s="362">
        <f t="shared" si="240"/>
        <v>-0.39641730612604004</v>
      </c>
      <c r="L535" s="362">
        <f t="shared" si="240"/>
        <v>2.5694691801925663E-2</v>
      </c>
      <c r="M535" s="362">
        <f t="shared" si="230"/>
        <v>0.42211199792796572</v>
      </c>
      <c r="N535" s="362"/>
    </row>
    <row r="536" spans="1:14" s="268" customFormat="1" x14ac:dyDescent="0.2">
      <c r="A536" s="195"/>
      <c r="B536" s="194" t="s">
        <v>786</v>
      </c>
      <c r="C536" s="354"/>
      <c r="D536" s="354"/>
      <c r="E536" s="354"/>
      <c r="F536" s="354"/>
      <c r="G536" s="354"/>
      <c r="H536" s="354"/>
      <c r="I536" s="354"/>
      <c r="J536" s="354"/>
      <c r="K536" s="354"/>
      <c r="L536" s="354"/>
      <c r="M536" s="354">
        <f t="shared" si="230"/>
        <v>0</v>
      </c>
      <c r="N536" s="354"/>
    </row>
    <row r="537" spans="1:14" s="363" customFormat="1" x14ac:dyDescent="0.2">
      <c r="A537" s="195"/>
      <c r="B537" s="194" t="s">
        <v>785</v>
      </c>
      <c r="C537" s="355">
        <f t="shared" ref="C537:L537" si="241">+C8</f>
        <v>2003</v>
      </c>
      <c r="D537" s="355">
        <f t="shared" si="241"/>
        <v>2004</v>
      </c>
      <c r="E537" s="355">
        <f t="shared" si="241"/>
        <v>2005</v>
      </c>
      <c r="F537" s="355">
        <f t="shared" si="241"/>
        <v>2006</v>
      </c>
      <c r="G537" s="355">
        <f t="shared" si="241"/>
        <v>2007</v>
      </c>
      <c r="H537" s="355">
        <f t="shared" si="241"/>
        <v>2008</v>
      </c>
      <c r="I537" s="355">
        <f t="shared" si="241"/>
        <v>2009</v>
      </c>
      <c r="J537" s="355">
        <f t="shared" si="241"/>
        <v>2010</v>
      </c>
      <c r="K537" s="355">
        <f t="shared" si="241"/>
        <v>2011</v>
      </c>
      <c r="L537" s="355" t="str">
        <f t="shared" si="241"/>
        <v>Plan2012</v>
      </c>
      <c r="M537" s="355"/>
      <c r="N537" s="355"/>
    </row>
    <row r="538" spans="1:14" x14ac:dyDescent="0.2">
      <c r="B538" s="194" t="s">
        <v>40</v>
      </c>
      <c r="C538" s="357">
        <f t="shared" ref="C538:L538" si="242">+C495/C511</f>
        <v>115728.79535083829</v>
      </c>
      <c r="D538" s="357">
        <f t="shared" si="242"/>
        <v>98665.355527950305</v>
      </c>
      <c r="E538" s="357">
        <f t="shared" si="242"/>
        <v>104027.50914569174</v>
      </c>
      <c r="F538" s="357">
        <f t="shared" si="242"/>
        <v>116735.48345588768</v>
      </c>
      <c r="G538" s="357">
        <f t="shared" si="242"/>
        <v>123311.74162743833</v>
      </c>
      <c r="H538" s="357">
        <f t="shared" si="242"/>
        <v>105706.39182799842</v>
      </c>
      <c r="I538" s="357">
        <f t="shared" si="242"/>
        <v>91628.905156540379</v>
      </c>
      <c r="J538" s="357">
        <f t="shared" si="242"/>
        <v>95112.942702254761</v>
      </c>
      <c r="K538" s="357">
        <f t="shared" si="242"/>
        <v>65799.591009625728</v>
      </c>
      <c r="L538" s="357">
        <f t="shared" si="242"/>
        <v>124103.17354684198</v>
      </c>
      <c r="M538" s="357">
        <f t="shared" si="230"/>
        <v>58303.582537216251</v>
      </c>
      <c r="N538" s="357"/>
    </row>
    <row r="539" spans="1:14" x14ac:dyDescent="0.2">
      <c r="B539" s="194" t="s">
        <v>41</v>
      </c>
      <c r="C539" s="357">
        <f t="shared" ref="C539:L539" si="243">+C500/C511</f>
        <v>26532.982961723676</v>
      </c>
      <c r="D539" s="357">
        <f t="shared" si="243"/>
        <v>2261.098910570005</v>
      </c>
      <c r="E539" s="357">
        <f t="shared" si="243"/>
        <v>10647.964152122006</v>
      </c>
      <c r="F539" s="357">
        <f t="shared" si="243"/>
        <v>14462.053278234045</v>
      </c>
      <c r="G539" s="357">
        <f t="shared" si="243"/>
        <v>15818.394716148923</v>
      </c>
      <c r="H539" s="357">
        <f t="shared" si="243"/>
        <v>-2251.5662085212443</v>
      </c>
      <c r="I539" s="357">
        <f t="shared" si="243"/>
        <v>-22333.157073751994</v>
      </c>
      <c r="J539" s="357">
        <f t="shared" si="243"/>
        <v>-21104.847733158364</v>
      </c>
      <c r="K539" s="357">
        <f t="shared" si="243"/>
        <v>-47633.004552511513</v>
      </c>
      <c r="L539" s="357">
        <f t="shared" si="243"/>
        <v>5985.6859090435973</v>
      </c>
      <c r="M539" s="357">
        <f t="shared" si="230"/>
        <v>53618.69046155511</v>
      </c>
      <c r="N539" s="357"/>
    </row>
    <row r="540" spans="1:14" x14ac:dyDescent="0.2">
      <c r="B540" s="194" t="s">
        <v>784</v>
      </c>
      <c r="C540" s="357">
        <f t="shared" ref="C540:L540" si="244">+C503/C511</f>
        <v>18887.583968313589</v>
      </c>
      <c r="D540" s="357">
        <f t="shared" si="244"/>
        <v>11453.189072720275</v>
      </c>
      <c r="E540" s="357">
        <f t="shared" si="244"/>
        <v>15532.248686386187</v>
      </c>
      <c r="F540" s="357">
        <f t="shared" si="244"/>
        <v>23629.57715567277</v>
      </c>
      <c r="G540" s="357">
        <f t="shared" si="244"/>
        <v>23304.466603292898</v>
      </c>
      <c r="H540" s="357">
        <f t="shared" si="244"/>
        <v>3754.2415385558525</v>
      </c>
      <c r="I540" s="357">
        <f t="shared" si="244"/>
        <v>8261.0044571801463</v>
      </c>
      <c r="J540" s="357">
        <f t="shared" si="244"/>
        <v>1662.037498705155</v>
      </c>
      <c r="K540" s="357">
        <f t="shared" si="244"/>
        <v>-328.5398428356462</v>
      </c>
      <c r="L540" s="357">
        <f t="shared" si="244"/>
        <v>4217.3726585316099</v>
      </c>
      <c r="M540" s="357">
        <f t="shared" si="230"/>
        <v>4545.9125013672565</v>
      </c>
      <c r="N540" s="357"/>
    </row>
    <row r="541" spans="1:14" x14ac:dyDescent="0.2">
      <c r="C541" s="357"/>
      <c r="D541" s="357"/>
      <c r="E541" s="357"/>
      <c r="F541" s="357"/>
      <c r="G541" s="357"/>
      <c r="H541" s="357"/>
      <c r="I541" s="357"/>
      <c r="J541" s="357"/>
      <c r="K541" s="357"/>
      <c r="L541" s="357"/>
      <c r="M541" s="357">
        <f t="shared" si="230"/>
        <v>0</v>
      </c>
      <c r="N541" s="357"/>
    </row>
    <row r="542" spans="1:14" x14ac:dyDescent="0.2">
      <c r="B542" s="194" t="s">
        <v>783</v>
      </c>
      <c r="C542" s="357">
        <f t="shared" ref="C542:L542" si="245">+C496/C511</f>
        <v>51394.093218151393</v>
      </c>
      <c r="D542" s="357">
        <f t="shared" si="245"/>
        <v>54016.047860165992</v>
      </c>
      <c r="E542" s="357">
        <f t="shared" si="245"/>
        <v>53453.028462245093</v>
      </c>
      <c r="F542" s="357">
        <f t="shared" si="245"/>
        <v>57663.724586391996</v>
      </c>
      <c r="G542" s="357">
        <f t="shared" si="245"/>
        <v>59205.276720027374</v>
      </c>
      <c r="H542" s="357">
        <f t="shared" si="245"/>
        <v>61231.590396637032</v>
      </c>
      <c r="I542" s="357">
        <f t="shared" si="245"/>
        <v>60694.513599931917</v>
      </c>
      <c r="J542" s="357">
        <f t="shared" si="245"/>
        <v>61123.659542142872</v>
      </c>
      <c r="K542" s="357">
        <f t="shared" si="245"/>
        <v>59815.119459239977</v>
      </c>
      <c r="L542" s="357">
        <f t="shared" si="245"/>
        <v>66918.945366881468</v>
      </c>
      <c r="M542" s="357">
        <f t="shared" si="230"/>
        <v>7103.8259076414906</v>
      </c>
      <c r="N542" s="357"/>
    </row>
    <row r="543" spans="1:14" x14ac:dyDescent="0.2">
      <c r="C543" s="357"/>
      <c r="D543" s="357"/>
      <c r="E543" s="357"/>
      <c r="F543" s="357"/>
      <c r="G543" s="357"/>
      <c r="H543" s="357"/>
      <c r="I543" s="357"/>
      <c r="J543" s="357"/>
      <c r="K543" s="357"/>
      <c r="L543" s="357"/>
      <c r="M543" s="357">
        <f t="shared" si="230"/>
        <v>0</v>
      </c>
      <c r="N543" s="357"/>
    </row>
    <row r="544" spans="1:14" x14ac:dyDescent="0.2">
      <c r="B544" s="194" t="s">
        <v>782</v>
      </c>
      <c r="C544" s="357">
        <f t="shared" ref="C544:L544" si="246">+C319</f>
        <v>2123550.19</v>
      </c>
      <c r="D544" s="357">
        <f t="shared" si="246"/>
        <v>2433051.4700000002</v>
      </c>
      <c r="E544" s="357">
        <f t="shared" si="246"/>
        <v>2500369.5499999998</v>
      </c>
      <c r="F544" s="357">
        <f t="shared" si="246"/>
        <v>2690777.5</v>
      </c>
      <c r="G544" s="357">
        <f t="shared" si="246"/>
        <v>2925108.31</v>
      </c>
      <c r="H544" s="357">
        <f t="shared" si="246"/>
        <v>3362353.05</v>
      </c>
      <c r="I544" s="357">
        <f t="shared" si="246"/>
        <v>2216218.7999999998</v>
      </c>
      <c r="J544" s="357">
        <f t="shared" si="246"/>
        <v>1875186.47</v>
      </c>
      <c r="K544" s="357">
        <f t="shared" si="246"/>
        <v>1243247.5699999998</v>
      </c>
      <c r="L544" s="357">
        <f t="shared" si="246"/>
        <v>1333636.2810245173</v>
      </c>
      <c r="M544" s="357">
        <f t="shared" si="230"/>
        <v>90388.711024517426</v>
      </c>
      <c r="N544" s="357"/>
    </row>
    <row r="545" spans="2:14" x14ac:dyDescent="0.2">
      <c r="B545" s="194" t="s">
        <v>781</v>
      </c>
      <c r="C545" s="357">
        <f t="shared" ref="C545:L545" si="247">+C152+C159</f>
        <v>932708.6100000001</v>
      </c>
      <c r="D545" s="357">
        <f t="shared" si="247"/>
        <v>1044390.1000000001</v>
      </c>
      <c r="E545" s="357">
        <f t="shared" si="247"/>
        <v>1157749.44</v>
      </c>
      <c r="F545" s="357">
        <f t="shared" si="247"/>
        <v>1219795.5799999998</v>
      </c>
      <c r="G545" s="357">
        <f t="shared" si="247"/>
        <v>1175246.3500000001</v>
      </c>
      <c r="H545" s="357">
        <f t="shared" si="247"/>
        <v>1592246.15</v>
      </c>
      <c r="I545" s="357">
        <f t="shared" si="247"/>
        <v>973126.8600000001</v>
      </c>
      <c r="J545" s="357">
        <f t="shared" si="247"/>
        <v>806038.36</v>
      </c>
      <c r="K545" s="357">
        <f t="shared" si="247"/>
        <v>447840.93999999994</v>
      </c>
      <c r="L545" s="357">
        <f t="shared" si="247"/>
        <v>640634.17505769222</v>
      </c>
      <c r="M545" s="357">
        <f t="shared" si="230"/>
        <v>192793.23505769228</v>
      </c>
      <c r="N545" s="357"/>
    </row>
    <row r="546" spans="2:14" x14ac:dyDescent="0.2">
      <c r="B546" s="194" t="s">
        <v>780</v>
      </c>
      <c r="C546" s="362">
        <f t="shared" ref="C546:L546" si="248">+C545/C544</f>
        <v>0.43922136354121216</v>
      </c>
      <c r="D546" s="362">
        <f t="shared" si="248"/>
        <v>0.4292511329404799</v>
      </c>
      <c r="E546" s="362">
        <f t="shared" si="248"/>
        <v>0.46303133070869468</v>
      </c>
      <c r="F546" s="362">
        <f t="shared" si="248"/>
        <v>0.45332457997734849</v>
      </c>
      <c r="G546" s="362">
        <f t="shared" si="248"/>
        <v>0.40177874644238387</v>
      </c>
      <c r="H546" s="362">
        <f t="shared" si="248"/>
        <v>0.47355114894909683</v>
      </c>
      <c r="I546" s="362">
        <f t="shared" si="248"/>
        <v>0.43909331515462291</v>
      </c>
      <c r="J546" s="362">
        <f t="shared" si="248"/>
        <v>0.42984437702347544</v>
      </c>
      <c r="K546" s="362">
        <f t="shared" si="248"/>
        <v>0.36021863288258832</v>
      </c>
      <c r="L546" s="362">
        <f t="shared" si="248"/>
        <v>0.48036648685468308</v>
      </c>
      <c r="M546" s="362">
        <f t="shared" si="230"/>
        <v>0.12014785397209476</v>
      </c>
      <c r="N546" s="362"/>
    </row>
    <row r="547" spans="2:14" x14ac:dyDescent="0.2">
      <c r="B547" s="194" t="s">
        <v>779</v>
      </c>
      <c r="C547" s="362">
        <f t="shared" ref="C547:L547" si="249">+C545/C495</f>
        <v>0.19153092485168818</v>
      </c>
      <c r="D547" s="362">
        <f t="shared" si="249"/>
        <v>0.24203995992935323</v>
      </c>
      <c r="E547" s="362">
        <f t="shared" si="249"/>
        <v>0.23718435267261756</v>
      </c>
      <c r="F547" s="362">
        <f t="shared" si="249"/>
        <v>0.22653680507760893</v>
      </c>
      <c r="G547" s="362">
        <f t="shared" si="249"/>
        <v>0.1891715173342661</v>
      </c>
      <c r="H547" s="362">
        <f t="shared" si="249"/>
        <v>0.27649748198791019</v>
      </c>
      <c r="I547" s="362">
        <f t="shared" si="249"/>
        <v>0.31336775350108276</v>
      </c>
      <c r="J547" s="362">
        <f t="shared" si="249"/>
        <v>0.3043237717328604</v>
      </c>
      <c r="K547" s="362">
        <f t="shared" si="249"/>
        <v>0.33813652960072776</v>
      </c>
      <c r="L547" s="362">
        <f t="shared" si="249"/>
        <v>0.27703250660743933</v>
      </c>
      <c r="M547" s="362">
        <f t="shared" si="230"/>
        <v>-6.1104022993288432E-2</v>
      </c>
      <c r="N547" s="362"/>
    </row>
    <row r="548" spans="2:14" x14ac:dyDescent="0.2">
      <c r="B548" s="194" t="s">
        <v>778</v>
      </c>
      <c r="C548" s="362">
        <f t="shared" ref="C548:L548" si="250">+C188/C131</f>
        <v>4.5173836520026385E-2</v>
      </c>
      <c r="D548" s="362">
        <f t="shared" si="250"/>
        <v>6.0752499217794936E-2</v>
      </c>
      <c r="E548" s="362">
        <f t="shared" si="250"/>
        <v>6.6380705750469851E-2</v>
      </c>
      <c r="F548" s="362">
        <f t="shared" si="250"/>
        <v>7.0025476791362284E-2</v>
      </c>
      <c r="G548" s="362">
        <f t="shared" si="250"/>
        <v>7.2843369635550104E-2</v>
      </c>
      <c r="H548" s="362">
        <f t="shared" si="250"/>
        <v>8.7937871201588955E-2</v>
      </c>
      <c r="I548" s="362">
        <f t="shared" si="250"/>
        <v>0.12450038004814276</v>
      </c>
      <c r="J548" s="362">
        <f t="shared" si="250"/>
        <v>0.11573859739975113</v>
      </c>
      <c r="K548" s="362">
        <f t="shared" si="250"/>
        <v>0.13717109535823496</v>
      </c>
      <c r="L548" s="362">
        <f t="shared" si="250"/>
        <v>6.569390232793601E-2</v>
      </c>
      <c r="M548" s="362">
        <f t="shared" si="230"/>
        <v>-7.1477193030298952E-2</v>
      </c>
      <c r="N548" s="362"/>
    </row>
    <row r="549" spans="2:14" x14ac:dyDescent="0.2">
      <c r="B549" s="194" t="s">
        <v>777</v>
      </c>
      <c r="C549" s="362">
        <f t="shared" ref="C549:L549" si="251">+C410</f>
        <v>0.56871224264174136</v>
      </c>
      <c r="D549" s="362">
        <f t="shared" si="251"/>
        <v>0.55789141108171603</v>
      </c>
      <c r="E549" s="362">
        <f t="shared" si="251"/>
        <v>0.53840412551567196</v>
      </c>
      <c r="F549" s="362">
        <f t="shared" si="251"/>
        <v>0.54139480841777654</v>
      </c>
      <c r="G549" s="362">
        <f t="shared" si="251"/>
        <v>0.60599678675426849</v>
      </c>
      <c r="H549" s="362">
        <f t="shared" si="251"/>
        <v>0.52267202303348614</v>
      </c>
      <c r="I549" s="362">
        <f t="shared" si="251"/>
        <v>0.52691697384817582</v>
      </c>
      <c r="J549" s="362">
        <f t="shared" si="251"/>
        <v>0.52644966481751909</v>
      </c>
      <c r="K549" s="362">
        <f t="shared" si="251"/>
        <v>0.62803308671307634</v>
      </c>
      <c r="L549" s="362">
        <f t="shared" si="251"/>
        <v>0.4862349808842798</v>
      </c>
      <c r="M549" s="362">
        <f t="shared" si="230"/>
        <v>-0.14179810582879654</v>
      </c>
      <c r="N549" s="362"/>
    </row>
    <row r="550" spans="2:14" x14ac:dyDescent="0.2">
      <c r="B550" s="194" t="s">
        <v>776</v>
      </c>
      <c r="C550" s="362">
        <f t="shared" ref="C550:L550" si="252">+C429</f>
        <v>1.7265974576142333</v>
      </c>
      <c r="D550" s="362">
        <f t="shared" si="252"/>
        <v>1.8461535794130899</v>
      </c>
      <c r="E550" s="362">
        <f t="shared" si="252"/>
        <v>1.8515829005021696</v>
      </c>
      <c r="F550" s="362">
        <f t="shared" si="252"/>
        <v>1.8685968486296467</v>
      </c>
      <c r="G550" s="362">
        <f t="shared" si="252"/>
        <v>1.6182383267320506</v>
      </c>
      <c r="H550" s="362">
        <f t="shared" si="252"/>
        <v>1.9285048741169275</v>
      </c>
      <c r="I550" s="362">
        <f t="shared" si="252"/>
        <v>2.0447412192132486</v>
      </c>
      <c r="J550" s="362">
        <f t="shared" si="252"/>
        <v>2.0926569730596594</v>
      </c>
      <c r="K550" s="362">
        <f t="shared" si="252"/>
        <v>1.6442036685181587</v>
      </c>
      <c r="L550" s="362">
        <f t="shared" si="252"/>
        <v>2.1996097207895029</v>
      </c>
      <c r="M550" s="362">
        <f t="shared" si="230"/>
        <v>0.55540605227134421</v>
      </c>
      <c r="N550" s="362"/>
    </row>
    <row r="551" spans="2:14" x14ac:dyDescent="0.2">
      <c r="C551" s="362"/>
      <c r="D551" s="362"/>
      <c r="E551" s="362"/>
      <c r="F551" s="362"/>
      <c r="G551" s="362"/>
      <c r="H551" s="362"/>
      <c r="I551" s="362"/>
      <c r="J551" s="362"/>
      <c r="K551" s="362"/>
      <c r="L551" s="362"/>
      <c r="M551" s="362">
        <f t="shared" si="230"/>
        <v>0</v>
      </c>
      <c r="N551" s="362"/>
    </row>
    <row r="552" spans="2:14" x14ac:dyDescent="0.2">
      <c r="B552" s="194" t="s">
        <v>775</v>
      </c>
      <c r="C552" s="102"/>
      <c r="D552" s="102"/>
      <c r="E552" s="102"/>
      <c r="F552" s="102"/>
      <c r="G552" s="102">
        <v>930571</v>
      </c>
      <c r="H552" s="102">
        <v>930571</v>
      </c>
      <c r="I552" s="102">
        <v>930571</v>
      </c>
      <c r="J552" s="102">
        <v>930572</v>
      </c>
      <c r="K552" s="102">
        <v>930572</v>
      </c>
      <c r="L552" s="102"/>
      <c r="M552" s="102">
        <f t="shared" si="230"/>
        <v>-930572</v>
      </c>
      <c r="N552" s="362"/>
    </row>
    <row r="553" spans="2:14" x14ac:dyDescent="0.2">
      <c r="B553" s="194" t="s">
        <v>774</v>
      </c>
      <c r="C553" s="102">
        <f t="shared" ref="C553:L553" si="253">+C480/365</f>
        <v>20649.338712328768</v>
      </c>
      <c r="D553" s="102">
        <f t="shared" si="253"/>
        <v>20278.425205479452</v>
      </c>
      <c r="E553" s="102">
        <f t="shared" si="253"/>
        <v>21077.808136986303</v>
      </c>
      <c r="F553" s="102">
        <f t="shared" si="253"/>
        <v>22746.762876712328</v>
      </c>
      <c r="G553" s="102">
        <f t="shared" si="253"/>
        <v>26270.631315068498</v>
      </c>
      <c r="H553" s="102">
        <f t="shared" si="253"/>
        <v>24286.180712328769</v>
      </c>
      <c r="I553" s="102">
        <f t="shared" si="253"/>
        <v>12894.16301369863</v>
      </c>
      <c r="J553" s="102">
        <f t="shared" si="253"/>
        <v>9466.6841095890413</v>
      </c>
      <c r="K553" s="102">
        <f t="shared" si="253"/>
        <v>6626.2987671232886</v>
      </c>
      <c r="L553" s="102">
        <f t="shared" si="253"/>
        <v>11892.526573825582</v>
      </c>
      <c r="M553" s="102">
        <f t="shared" si="230"/>
        <v>5266.2278067022935</v>
      </c>
      <c r="N553" s="362"/>
    </row>
    <row r="554" spans="2:14" x14ac:dyDescent="0.2">
      <c r="C554" s="102"/>
      <c r="D554" s="102"/>
      <c r="E554" s="102"/>
      <c r="F554" s="102"/>
      <c r="G554" s="157">
        <f>+G552/G553</f>
        <v>35.422483336600912</v>
      </c>
      <c r="H554" s="157">
        <f>+H552/H553</f>
        <v>38.316893505103494</v>
      </c>
      <c r="I554" s="157">
        <f>+I552/I553</f>
        <v>72.169942245291196</v>
      </c>
      <c r="J554" s="157">
        <f>+J552/J553</f>
        <v>98.299678031656342</v>
      </c>
      <c r="K554" s="157">
        <f>+K552/K553</f>
        <v>140.43616696202702</v>
      </c>
      <c r="L554" s="157"/>
      <c r="M554" s="157">
        <f t="shared" si="230"/>
        <v>-140.43616696202702</v>
      </c>
      <c r="N554" s="362"/>
    </row>
    <row r="555" spans="2:14" x14ac:dyDescent="0.2">
      <c r="B555" s="194" t="s">
        <v>773</v>
      </c>
      <c r="C555" s="102"/>
      <c r="D555" s="102"/>
      <c r="E555" s="102"/>
      <c r="F555" s="102"/>
      <c r="G555" s="102">
        <v>272248</v>
      </c>
      <c r="H555" s="102">
        <v>272248</v>
      </c>
      <c r="I555" s="102">
        <v>272248</v>
      </c>
      <c r="J555" s="102">
        <v>272249</v>
      </c>
      <c r="K555" s="102">
        <v>272249</v>
      </c>
      <c r="L555" s="102"/>
      <c r="M555" s="102">
        <f t="shared" si="230"/>
        <v>-272249</v>
      </c>
      <c r="N555" s="362"/>
    </row>
    <row r="556" spans="2:14" x14ac:dyDescent="0.2">
      <c r="C556" s="102"/>
      <c r="D556" s="102"/>
      <c r="E556" s="102"/>
      <c r="F556" s="102"/>
      <c r="G556" s="157">
        <f>+G555/G553</f>
        <v>10.36320736775907</v>
      </c>
      <c r="H556" s="157">
        <f>+H555/H553</f>
        <v>11.209996467735849</v>
      </c>
      <c r="I556" s="157">
        <f>+I555/I553</f>
        <v>21.114049799957272</v>
      </c>
      <c r="J556" s="157">
        <f>+J555/J553</f>
        <v>28.758644193507227</v>
      </c>
      <c r="K556" s="157">
        <f>+K555/K553</f>
        <v>41.086134140340455</v>
      </c>
      <c r="L556" s="157"/>
      <c r="M556" s="157">
        <f t="shared" si="230"/>
        <v>-41.086134140340455</v>
      </c>
      <c r="N556" s="362"/>
    </row>
    <row r="557" spans="2:14" x14ac:dyDescent="0.2">
      <c r="B557" s="193" t="s">
        <v>772</v>
      </c>
    </row>
    <row r="558" spans="2:14" x14ac:dyDescent="0.2">
      <c r="B558" s="194" t="s">
        <v>1087</v>
      </c>
      <c r="C558" s="353">
        <f t="shared" ref="C558:L558" si="254">+C500/C495</f>
        <v>0.22926863518528348</v>
      </c>
      <c r="D558" s="353">
        <f t="shared" si="254"/>
        <v>2.291684754462241E-2</v>
      </c>
      <c r="E558" s="353">
        <f t="shared" si="254"/>
        <v>0.1023571960875215</v>
      </c>
      <c r="F558" s="353">
        <f t="shared" si="254"/>
        <v>0.12388738068403173</v>
      </c>
      <c r="G558" s="353">
        <f t="shared" si="254"/>
        <v>0.12827971211323108</v>
      </c>
      <c r="H558" s="353">
        <f t="shared" si="254"/>
        <v>-2.1300189795380686E-2</v>
      </c>
      <c r="I558" s="353">
        <f t="shared" si="254"/>
        <v>-0.2437348458502003</v>
      </c>
      <c r="J558" s="353">
        <f t="shared" si="254"/>
        <v>-0.22189249048077289</v>
      </c>
      <c r="K558" s="353">
        <f t="shared" si="254"/>
        <v>-0.72391034384306963</v>
      </c>
      <c r="L558" s="353">
        <f t="shared" si="254"/>
        <v>4.8231529766515902E-2</v>
      </c>
      <c r="M558" s="353">
        <f t="shared" si="230"/>
        <v>0.77214187360958553</v>
      </c>
      <c r="N558" s="353">
        <v>0.14000000000000001</v>
      </c>
    </row>
    <row r="559" spans="2:14" x14ac:dyDescent="0.2">
      <c r="B559" s="194" t="s">
        <v>1088</v>
      </c>
      <c r="C559" s="353">
        <f t="shared" ref="C559:L559" si="255">+C506/C495</f>
        <v>7.8035040385525806E-2</v>
      </c>
      <c r="D559" s="353">
        <f t="shared" si="255"/>
        <v>-8.5865861679799552E-2</v>
      </c>
      <c r="E559" s="353">
        <f t="shared" si="255"/>
        <v>-3.8942098232810578E-2</v>
      </c>
      <c r="F559" s="353">
        <f t="shared" si="255"/>
        <v>-7.3878934180919204E-2</v>
      </c>
      <c r="G559" s="353">
        <f t="shared" si="255"/>
        <v>-4.8868956604559581E-2</v>
      </c>
      <c r="H559" s="353">
        <f t="shared" si="255"/>
        <v>-5.3610234658618701E-2</v>
      </c>
      <c r="I559" s="353">
        <f t="shared" si="255"/>
        <v>-0.33062898082754605</v>
      </c>
      <c r="J559" s="353">
        <f t="shared" si="255"/>
        <v>-0.19765738556435014</v>
      </c>
      <c r="K559" s="353">
        <f t="shared" si="255"/>
        <v>-0.68110132521773115</v>
      </c>
      <c r="L559" s="353">
        <f t="shared" si="255"/>
        <v>1.4177383404137045E-2</v>
      </c>
      <c r="M559" s="353">
        <f t="shared" si="230"/>
        <v>0.69527870862186814</v>
      </c>
      <c r="N559" s="353">
        <v>5.6000000000000001E-2</v>
      </c>
    </row>
    <row r="560" spans="2:14" x14ac:dyDescent="0.2">
      <c r="B560" s="194" t="s">
        <v>771</v>
      </c>
      <c r="C560" s="353">
        <f t="shared" ref="C560:L560" si="256">+C500/C480</f>
        <v>0.14813330524208274</v>
      </c>
      <c r="D560" s="353">
        <f t="shared" si="256"/>
        <v>1.3359907767283361E-2</v>
      </c>
      <c r="E560" s="353">
        <f t="shared" si="256"/>
        <v>6.4942441826536232E-2</v>
      </c>
      <c r="F560" s="353">
        <f t="shared" si="256"/>
        <v>8.0345746502095944E-2</v>
      </c>
      <c r="G560" s="353">
        <f t="shared" si="256"/>
        <v>8.3112771829316034E-2</v>
      </c>
      <c r="H560" s="353">
        <f t="shared" si="256"/>
        <v>-1.3837269941154874E-2</v>
      </c>
      <c r="I560" s="353">
        <f t="shared" si="256"/>
        <v>-0.16082248110778372</v>
      </c>
      <c r="J560" s="353">
        <f t="shared" si="256"/>
        <v>-0.17008722181497796</v>
      </c>
      <c r="K560" s="353">
        <f t="shared" si="256"/>
        <v>-0.39641730612604004</v>
      </c>
      <c r="L560" s="353">
        <f t="shared" si="256"/>
        <v>2.5694691801925663E-2</v>
      </c>
      <c r="M560" s="353">
        <f t="shared" si="230"/>
        <v>0.42211199792796572</v>
      </c>
      <c r="N560" s="353">
        <v>0.114</v>
      </c>
    </row>
    <row r="561" spans="2:14" x14ac:dyDescent="0.2">
      <c r="B561" s="194" t="s">
        <v>770</v>
      </c>
      <c r="C561" s="285">
        <f t="shared" ref="C561:L561" si="257">+C495/C397</f>
        <v>115728.79535083829</v>
      </c>
      <c r="D561" s="285">
        <f t="shared" si="257"/>
        <v>98665.355527950305</v>
      </c>
      <c r="E561" s="285">
        <f t="shared" si="257"/>
        <v>104027.50914569174</v>
      </c>
      <c r="F561" s="285">
        <f t="shared" si="257"/>
        <v>116735.48345588768</v>
      </c>
      <c r="G561" s="285">
        <f t="shared" si="257"/>
        <v>123311.74162743833</v>
      </c>
      <c r="H561" s="285">
        <f t="shared" si="257"/>
        <v>105706.39182799842</v>
      </c>
      <c r="I561" s="285">
        <f t="shared" si="257"/>
        <v>91628.905156540379</v>
      </c>
      <c r="J561" s="285">
        <f t="shared" si="257"/>
        <v>95112.942702254761</v>
      </c>
      <c r="K561" s="285">
        <f t="shared" si="257"/>
        <v>65799.591009625728</v>
      </c>
      <c r="L561" s="285">
        <f t="shared" si="257"/>
        <v>124103.17354684198</v>
      </c>
      <c r="M561" s="285">
        <f t="shared" si="230"/>
        <v>58303.582537216251</v>
      </c>
      <c r="N561" s="285">
        <v>112787</v>
      </c>
    </row>
    <row r="562" spans="2:14" x14ac:dyDescent="0.2">
      <c r="B562" s="194" t="s">
        <v>769</v>
      </c>
      <c r="C562" s="285">
        <f t="shared" ref="C562:L562" si="258">+C495/C393</f>
        <v>158225.53706362919</v>
      </c>
      <c r="D562" s="285">
        <f t="shared" si="258"/>
        <v>134575.27238049541</v>
      </c>
      <c r="E562" s="285">
        <f t="shared" si="258"/>
        <v>136218.32347923715</v>
      </c>
      <c r="F562" s="285">
        <f t="shared" si="258"/>
        <v>154412.2611572427</v>
      </c>
      <c r="G562" s="285">
        <f t="shared" si="258"/>
        <v>160063.94181091289</v>
      </c>
      <c r="H562" s="285">
        <f t="shared" si="258"/>
        <v>136268.11270411848</v>
      </c>
      <c r="I562" s="285">
        <f t="shared" si="258"/>
        <v>123812.92359830551</v>
      </c>
      <c r="J562" s="285">
        <f t="shared" si="258"/>
        <v>127576.40430725056</v>
      </c>
      <c r="K562" s="285">
        <f t="shared" si="258"/>
        <v>81496.656415111094</v>
      </c>
      <c r="L562" s="285">
        <f t="shared" si="258"/>
        <v>159607.92762267718</v>
      </c>
      <c r="M562" s="285">
        <f t="shared" si="230"/>
        <v>78111.271207566082</v>
      </c>
      <c r="N562" s="285">
        <v>136356</v>
      </c>
    </row>
    <row r="563" spans="2:14" x14ac:dyDescent="0.2">
      <c r="B563" s="194" t="s">
        <v>768</v>
      </c>
      <c r="C563" s="285">
        <f t="shared" ref="C563:L563" si="259">+C500/C397</f>
        <v>26532.982961723676</v>
      </c>
      <c r="D563" s="285">
        <f t="shared" si="259"/>
        <v>2261.098910570005</v>
      </c>
      <c r="E563" s="285">
        <f t="shared" si="259"/>
        <v>10647.964152122006</v>
      </c>
      <c r="F563" s="285">
        <f t="shared" si="259"/>
        <v>14462.053278234045</v>
      </c>
      <c r="G563" s="285">
        <f t="shared" si="259"/>
        <v>15818.394716148923</v>
      </c>
      <c r="H563" s="285">
        <f t="shared" si="259"/>
        <v>-2251.5662085212443</v>
      </c>
      <c r="I563" s="285">
        <f t="shared" si="259"/>
        <v>-22333.157073751994</v>
      </c>
      <c r="J563" s="285">
        <f t="shared" si="259"/>
        <v>-21104.847733158364</v>
      </c>
      <c r="K563" s="285">
        <f t="shared" si="259"/>
        <v>-47633.004552511513</v>
      </c>
      <c r="L563" s="285">
        <f t="shared" si="259"/>
        <v>5985.6859090435973</v>
      </c>
      <c r="M563" s="285">
        <f t="shared" si="230"/>
        <v>53618.69046155511</v>
      </c>
      <c r="N563" s="285">
        <v>14796</v>
      </c>
    </row>
    <row r="564" spans="2:14" x14ac:dyDescent="0.2">
      <c r="B564" s="194" t="s">
        <v>767</v>
      </c>
      <c r="C564" s="285">
        <f t="shared" ref="C564:L564" si="260">+C500/C393</f>
        <v>36276.152934036756</v>
      </c>
      <c r="D564" s="285">
        <f t="shared" si="260"/>
        <v>3084.0410004198484</v>
      </c>
      <c r="E564" s="285">
        <f t="shared" si="260"/>
        <v>13942.925647077711</v>
      </c>
      <c r="F564" s="285">
        <f t="shared" si="260"/>
        <v>19129.73058026945</v>
      </c>
      <c r="G564" s="285">
        <f t="shared" si="260"/>
        <v>20532.956375212878</v>
      </c>
      <c r="H564" s="285">
        <f t="shared" si="260"/>
        <v>-2902.5366636560498</v>
      </c>
      <c r="I564" s="285">
        <f t="shared" si="260"/>
        <v>-30177.52384749562</v>
      </c>
      <c r="J564" s="285">
        <f t="shared" si="260"/>
        <v>-28308.246078317829</v>
      </c>
      <c r="K564" s="285">
        <f t="shared" si="260"/>
        <v>-58996.272567523578</v>
      </c>
      <c r="L564" s="285">
        <f t="shared" si="260"/>
        <v>7698.1345121050699</v>
      </c>
      <c r="M564" s="285">
        <f t="shared" si="230"/>
        <v>66694.407079628654</v>
      </c>
      <c r="N564" s="285">
        <v>17961</v>
      </c>
    </row>
    <row r="565" spans="2:14" x14ac:dyDescent="0.2">
      <c r="B565" s="194" t="s">
        <v>766</v>
      </c>
      <c r="C565" s="327">
        <f t="shared" ref="C565:L565" si="261">+C140/C131</f>
        <v>0.74744012564871243</v>
      </c>
      <c r="D565" s="327">
        <f t="shared" si="261"/>
        <v>0.69457274034522953</v>
      </c>
      <c r="E565" s="327">
        <f t="shared" si="261"/>
        <v>0.72334884030460056</v>
      </c>
      <c r="F565" s="327">
        <f t="shared" si="261"/>
        <v>0.73256768035828457</v>
      </c>
      <c r="G565" s="327">
        <f t="shared" si="261"/>
        <v>0.70904467832728624</v>
      </c>
      <c r="H565" s="327">
        <f t="shared" si="261"/>
        <v>0.69723648047467301</v>
      </c>
      <c r="I565" s="327">
        <f t="shared" si="261"/>
        <v>0.65097291754576525</v>
      </c>
      <c r="J565" s="327">
        <f t="shared" si="261"/>
        <v>0.66168084842970121</v>
      </c>
      <c r="K565" s="327">
        <f t="shared" si="261"/>
        <v>0.42908651057417024</v>
      </c>
      <c r="L565" s="327">
        <f t="shared" si="261"/>
        <v>0.73781224773449972</v>
      </c>
      <c r="M565" s="327">
        <f t="shared" si="230"/>
        <v>0.30872573716032947</v>
      </c>
      <c r="N565" s="364">
        <v>0.65800000000000003</v>
      </c>
    </row>
    <row r="566" spans="2:14" x14ac:dyDescent="0.2">
      <c r="B566" s="194" t="s">
        <v>765</v>
      </c>
      <c r="C566" s="293">
        <f t="shared" ref="C566:L566" si="262">+C319/C137</f>
        <v>1.7265974576142333</v>
      </c>
      <c r="D566" s="293">
        <f t="shared" si="262"/>
        <v>1.8461535794130899</v>
      </c>
      <c r="E566" s="293">
        <f t="shared" si="262"/>
        <v>1.8515829005021696</v>
      </c>
      <c r="F566" s="293">
        <f t="shared" si="262"/>
        <v>1.8685968486296467</v>
      </c>
      <c r="G566" s="293">
        <f t="shared" si="262"/>
        <v>1.6182383267320506</v>
      </c>
      <c r="H566" s="293">
        <f t="shared" si="262"/>
        <v>1.9285048741169275</v>
      </c>
      <c r="I566" s="293">
        <f t="shared" si="262"/>
        <v>2.0447412192132486</v>
      </c>
      <c r="J566" s="293">
        <f t="shared" si="262"/>
        <v>2.0926569730596594</v>
      </c>
      <c r="K566" s="293">
        <f t="shared" si="262"/>
        <v>1.6442036685181587</v>
      </c>
      <c r="L566" s="293">
        <f t="shared" si="262"/>
        <v>2.1996097207895029</v>
      </c>
      <c r="M566" s="293">
        <f t="shared" si="230"/>
        <v>0.55540605227134421</v>
      </c>
      <c r="N566" s="364">
        <v>1.579</v>
      </c>
    </row>
    <row r="567" spans="2:14" x14ac:dyDescent="0.2">
      <c r="B567" s="194" t="s">
        <v>764</v>
      </c>
      <c r="C567" s="293">
        <f t="shared" ref="C567:L567" si="263">+(C319+C334+C335+C336)/C137</f>
        <v>2.3728029170261999</v>
      </c>
      <c r="D567" s="293">
        <f t="shared" si="263"/>
        <v>2.226215141907212</v>
      </c>
      <c r="E567" s="293">
        <f t="shared" si="263"/>
        <v>2.3912844196894936</v>
      </c>
      <c r="F567" s="293">
        <f t="shared" si="263"/>
        <v>2.6109222232418992</v>
      </c>
      <c r="G567" s="293">
        <f t="shared" si="263"/>
        <v>2.267782109959477</v>
      </c>
      <c r="H567" s="293">
        <f t="shared" si="263"/>
        <v>1.9624067872710638</v>
      </c>
      <c r="I567" s="293">
        <f t="shared" si="263"/>
        <v>2.0681056170277206</v>
      </c>
      <c r="J567" s="293">
        <f t="shared" si="263"/>
        <v>2.0926569730596594</v>
      </c>
      <c r="K567" s="293">
        <f t="shared" si="263"/>
        <v>1.6442036685181587</v>
      </c>
      <c r="L567" s="293">
        <f t="shared" si="263"/>
        <v>2.3292221619808515</v>
      </c>
      <c r="M567" s="293">
        <f t="shared" si="230"/>
        <v>0.68501849346269283</v>
      </c>
      <c r="N567" s="364">
        <v>1.8049999999999999</v>
      </c>
    </row>
    <row r="568" spans="2:14" x14ac:dyDescent="0.2">
      <c r="B568" s="194" t="s">
        <v>763</v>
      </c>
      <c r="C568" s="293">
        <f t="shared" ref="C568:L568" si="264">+C430</f>
        <v>2.7265974576142336</v>
      </c>
      <c r="D568" s="293">
        <f t="shared" si="264"/>
        <v>2.8461535794130901</v>
      </c>
      <c r="E568" s="293">
        <f t="shared" si="264"/>
        <v>2.8515829005021693</v>
      </c>
      <c r="F568" s="293">
        <f t="shared" si="264"/>
        <v>2.8685968486296467</v>
      </c>
      <c r="G568" s="293">
        <f t="shared" si="264"/>
        <v>2.6182383267320506</v>
      </c>
      <c r="H568" s="293">
        <f t="shared" si="264"/>
        <v>2.9285048741169275</v>
      </c>
      <c r="I568" s="293">
        <f t="shared" si="264"/>
        <v>3.0447412192132486</v>
      </c>
      <c r="J568" s="293">
        <f t="shared" si="264"/>
        <v>3.0926569730596594</v>
      </c>
      <c r="K568" s="293">
        <f t="shared" si="264"/>
        <v>2.6442036685181587</v>
      </c>
      <c r="L568" s="293">
        <f t="shared" si="264"/>
        <v>3.1996097207895029</v>
      </c>
      <c r="M568" s="293">
        <f t="shared" si="230"/>
        <v>0.55540605227134421</v>
      </c>
      <c r="N568" s="246">
        <v>2.57</v>
      </c>
    </row>
    <row r="569" spans="2:14" x14ac:dyDescent="0.2">
      <c r="B569" s="194" t="s">
        <v>42</v>
      </c>
      <c r="C569" s="293">
        <f t="shared" ref="C569:L569" si="265">+C459</f>
        <v>2.2517917547373933</v>
      </c>
      <c r="D569" s="293">
        <f t="shared" si="265"/>
        <v>1.826593381718155</v>
      </c>
      <c r="E569" s="293">
        <f t="shared" si="265"/>
        <v>1.9461480881138173</v>
      </c>
      <c r="F569" s="293">
        <f t="shared" si="265"/>
        <v>2.0244180252524995</v>
      </c>
      <c r="G569" s="293">
        <f t="shared" si="265"/>
        <v>2.082782962244405</v>
      </c>
      <c r="H569" s="293">
        <f t="shared" si="265"/>
        <v>1.7263375186446905</v>
      </c>
      <c r="I569" s="293">
        <f t="shared" si="265"/>
        <v>1.5096736051056048</v>
      </c>
      <c r="J569" s="293">
        <f t="shared" si="265"/>
        <v>1.5560740867728531</v>
      </c>
      <c r="K569" s="293">
        <f t="shared" si="265"/>
        <v>1.1000494792033939</v>
      </c>
      <c r="L569" s="293">
        <f t="shared" si="265"/>
        <v>1.8545297279634247</v>
      </c>
      <c r="M569" s="293">
        <f t="shared" si="230"/>
        <v>0.75448024876003084</v>
      </c>
      <c r="N569" s="246">
        <v>1.87</v>
      </c>
    </row>
    <row r="570" spans="2:14" x14ac:dyDescent="0.2">
      <c r="B570" s="194" t="s">
        <v>43</v>
      </c>
      <c r="C570" s="293">
        <f t="shared" ref="C570:L570" si="266">+C427</f>
        <v>3.9594571487990677</v>
      </c>
      <c r="D570" s="293">
        <f t="shared" si="266"/>
        <v>3.2741019944661027</v>
      </c>
      <c r="E570" s="293">
        <f t="shared" si="266"/>
        <v>3.6146604304895291</v>
      </c>
      <c r="F570" s="293">
        <f t="shared" si="266"/>
        <v>3.7392638307132096</v>
      </c>
      <c r="G570" s="293">
        <f t="shared" si="266"/>
        <v>3.436953805316088</v>
      </c>
      <c r="H570" s="293">
        <f t="shared" si="266"/>
        <v>3.3029078323828491</v>
      </c>
      <c r="I570" s="293">
        <f t="shared" si="266"/>
        <v>2.8651071801315653</v>
      </c>
      <c r="J570" s="293">
        <f t="shared" si="266"/>
        <v>2.9557889210780068</v>
      </c>
      <c r="K570" s="293">
        <f t="shared" si="266"/>
        <v>1.7515788618091761</v>
      </c>
      <c r="L570" s="293">
        <f t="shared" si="266"/>
        <v>3.8140606926114775</v>
      </c>
      <c r="M570" s="293">
        <f t="shared" si="230"/>
        <v>2.0624818308023016</v>
      </c>
      <c r="N570" s="246">
        <v>3.03</v>
      </c>
    </row>
    <row r="571" spans="2:14" x14ac:dyDescent="0.2">
      <c r="B571" s="194" t="s">
        <v>762</v>
      </c>
      <c r="C571" s="359">
        <f t="shared" ref="C571:L571" si="267">+C549</f>
        <v>0.56871224264174136</v>
      </c>
      <c r="D571" s="359">
        <f t="shared" si="267"/>
        <v>0.55789141108171603</v>
      </c>
      <c r="E571" s="359">
        <f t="shared" si="267"/>
        <v>0.53840412551567196</v>
      </c>
      <c r="F571" s="359">
        <f t="shared" si="267"/>
        <v>0.54139480841777654</v>
      </c>
      <c r="G571" s="359">
        <f t="shared" si="267"/>
        <v>0.60599678675426849</v>
      </c>
      <c r="H571" s="359">
        <f t="shared" si="267"/>
        <v>0.52267202303348614</v>
      </c>
      <c r="I571" s="359">
        <f t="shared" si="267"/>
        <v>0.52691697384817582</v>
      </c>
      <c r="J571" s="359">
        <f t="shared" si="267"/>
        <v>0.52644966481751909</v>
      </c>
      <c r="K571" s="359">
        <f t="shared" si="267"/>
        <v>0.62803308671307634</v>
      </c>
      <c r="L571" s="359">
        <f t="shared" si="267"/>
        <v>0.4862349808842798</v>
      </c>
      <c r="M571" s="359">
        <f t="shared" si="230"/>
        <v>-0.14179810582879654</v>
      </c>
      <c r="N571" s="364">
        <v>0.61399999999999999</v>
      </c>
    </row>
    <row r="572" spans="2:14" x14ac:dyDescent="0.2">
      <c r="B572" s="194" t="s">
        <v>761</v>
      </c>
      <c r="F572" s="246">
        <v>3.35</v>
      </c>
      <c r="G572" s="246">
        <v>3.38</v>
      </c>
      <c r="H572" s="246">
        <v>3.38</v>
      </c>
      <c r="I572" s="246">
        <v>3.38</v>
      </c>
      <c r="J572" s="246">
        <v>4.38</v>
      </c>
      <c r="K572" s="246">
        <v>4.38</v>
      </c>
      <c r="L572" s="246">
        <v>3.42</v>
      </c>
      <c r="M572" s="246">
        <f t="shared" si="230"/>
        <v>-0.96</v>
      </c>
      <c r="N572" s="246">
        <v>3</v>
      </c>
    </row>
    <row r="573" spans="2:14" x14ac:dyDescent="0.2">
      <c r="B573" s="193" t="s">
        <v>760</v>
      </c>
      <c r="M573" s="246">
        <f t="shared" ref="M573:M579" si="268">+L573-K573</f>
        <v>0</v>
      </c>
    </row>
    <row r="574" spans="2:14" x14ac:dyDescent="0.2">
      <c r="B574" s="194" t="s">
        <v>759</v>
      </c>
      <c r="C574" s="245">
        <f t="shared" ref="C574:L574" si="269">+C162+C163+C164+C165</f>
        <v>166276.67000000001</v>
      </c>
      <c r="D574" s="245">
        <f t="shared" si="269"/>
        <v>184445.89</v>
      </c>
      <c r="E574" s="245">
        <f t="shared" si="269"/>
        <v>188533.91000000003</v>
      </c>
      <c r="F574" s="245">
        <f t="shared" si="269"/>
        <v>197707.53</v>
      </c>
      <c r="G574" s="245">
        <f t="shared" si="269"/>
        <v>214926.86000000002</v>
      </c>
      <c r="H574" s="245">
        <f t="shared" si="269"/>
        <v>250344.69</v>
      </c>
      <c r="I574" s="245">
        <f t="shared" si="269"/>
        <v>158677.27000000002</v>
      </c>
      <c r="J574" s="245">
        <f t="shared" si="269"/>
        <v>140357.81999999998</v>
      </c>
      <c r="K574" s="245">
        <f t="shared" si="269"/>
        <v>97685.71</v>
      </c>
      <c r="L574" s="245">
        <f t="shared" si="269"/>
        <v>100121.93126353653</v>
      </c>
      <c r="M574" s="245">
        <f t="shared" si="268"/>
        <v>2436.2212635365286</v>
      </c>
    </row>
    <row r="575" spans="2:14" x14ac:dyDescent="0.2">
      <c r="B575" s="194" t="s">
        <v>758</v>
      </c>
      <c r="C575" s="364">
        <f t="shared" ref="C575:L575" si="270">+C574/C496</f>
        <v>7.6886919812286555E-2</v>
      </c>
      <c r="D575" s="364">
        <f t="shared" si="270"/>
        <v>7.8079169995653008E-2</v>
      </c>
      <c r="E575" s="364">
        <f t="shared" si="270"/>
        <v>7.5168660894709319E-2</v>
      </c>
      <c r="F575" s="364">
        <f t="shared" si="270"/>
        <v>7.4331880816372695E-2</v>
      </c>
      <c r="G575" s="364">
        <f t="shared" si="270"/>
        <v>7.2054572603280562E-2</v>
      </c>
      <c r="H575" s="364">
        <f t="shared" si="270"/>
        <v>7.5049027075373406E-2</v>
      </c>
      <c r="I575" s="364">
        <f t="shared" si="270"/>
        <v>7.7140531372353716E-2</v>
      </c>
      <c r="J575" s="364">
        <f t="shared" si="270"/>
        <v>8.2460706592775962E-2</v>
      </c>
      <c r="K575" s="364">
        <f t="shared" si="270"/>
        <v>8.1135619313726801E-2</v>
      </c>
      <c r="L575" s="364">
        <f t="shared" si="270"/>
        <v>8.0294102207209478E-2</v>
      </c>
      <c r="M575" s="364">
        <f t="shared" si="268"/>
        <v>-8.415171065173227E-4</v>
      </c>
      <c r="N575" s="364">
        <v>8.2000000000000003E-2</v>
      </c>
    </row>
    <row r="576" spans="2:14" x14ac:dyDescent="0.2">
      <c r="B576" s="194" t="s">
        <v>757</v>
      </c>
      <c r="C576" s="364">
        <f t="shared" ref="C576:L576" si="271">+C574/C499</f>
        <v>4.4301782990110741E-2</v>
      </c>
      <c r="D576" s="364">
        <f t="shared" si="271"/>
        <v>4.374836061550906E-2</v>
      </c>
      <c r="E576" s="364">
        <f t="shared" si="271"/>
        <v>4.3028615855329265E-2</v>
      </c>
      <c r="F576" s="364">
        <f t="shared" si="271"/>
        <v>4.1909742304901784E-2</v>
      </c>
      <c r="G576" s="364">
        <f t="shared" si="271"/>
        <v>3.9686278569790213E-2</v>
      </c>
      <c r="H576" s="364">
        <f t="shared" si="271"/>
        <v>4.2566304227344497E-2</v>
      </c>
      <c r="I576" s="364">
        <f t="shared" si="271"/>
        <v>4.1083909319085385E-2</v>
      </c>
      <c r="J576" s="364">
        <f t="shared" si="271"/>
        <v>4.336943712746346E-2</v>
      </c>
      <c r="K576" s="364">
        <f t="shared" si="271"/>
        <v>4.2784322597921046E-2</v>
      </c>
      <c r="L576" s="364">
        <f t="shared" si="271"/>
        <v>4.5490271985497169E-2</v>
      </c>
      <c r="M576" s="364">
        <f t="shared" si="268"/>
        <v>2.7059493875761231E-3</v>
      </c>
      <c r="N576" s="364">
        <v>5.1999999999999998E-2</v>
      </c>
    </row>
    <row r="577" spans="1:14" x14ac:dyDescent="0.2">
      <c r="B577" s="194" t="s">
        <v>756</v>
      </c>
      <c r="C577" s="364">
        <f t="shared" ref="C577:L577" si="272">+C574/C495</f>
        <v>3.4144773667693445E-2</v>
      </c>
      <c r="D577" s="364">
        <f t="shared" si="272"/>
        <v>4.2745786104956274E-2</v>
      </c>
      <c r="E577" s="364">
        <f t="shared" si="272"/>
        <v>3.8624327384850686E-2</v>
      </c>
      <c r="F577" s="364">
        <f t="shared" si="272"/>
        <v>3.671765410560475E-2</v>
      </c>
      <c r="G577" s="364">
        <f t="shared" si="272"/>
        <v>3.4595334180012031E-2</v>
      </c>
      <c r="H577" s="364">
        <f t="shared" si="272"/>
        <v>4.3472974586274846E-2</v>
      </c>
      <c r="I577" s="364">
        <f t="shared" si="272"/>
        <v>5.1097489623896271E-2</v>
      </c>
      <c r="J577" s="364">
        <f t="shared" si="272"/>
        <v>5.2992789542425624E-2</v>
      </c>
      <c r="K577" s="364">
        <f t="shared" si="272"/>
        <v>7.3756336280874885E-2</v>
      </c>
      <c r="L577" s="364">
        <f t="shared" si="272"/>
        <v>4.329620657814176E-2</v>
      </c>
      <c r="M577" s="364">
        <f t="shared" si="268"/>
        <v>-3.0460129702733124E-2</v>
      </c>
      <c r="N577" s="364">
        <v>4.3999999999999997E-2</v>
      </c>
    </row>
    <row r="578" spans="1:14" x14ac:dyDescent="0.2">
      <c r="B578" s="194" t="s">
        <v>755</v>
      </c>
      <c r="C578" s="364">
        <f t="shared" ref="C578:L578" si="273">+C574/C494</f>
        <v>2.2061361232645953E-2</v>
      </c>
      <c r="D578" s="364">
        <f t="shared" si="273"/>
        <v>2.4919647376903116E-2</v>
      </c>
      <c r="E578" s="364">
        <f t="shared" si="273"/>
        <v>2.4505928553718494E-2</v>
      </c>
      <c r="F578" s="364">
        <f t="shared" si="273"/>
        <v>2.3812815418582909E-2</v>
      </c>
      <c r="G578" s="364">
        <f t="shared" si="273"/>
        <v>2.2414410421534699E-2</v>
      </c>
      <c r="H578" s="364">
        <f t="shared" si="273"/>
        <v>2.8241404901739733E-2</v>
      </c>
      <c r="I578" s="364">
        <f t="shared" si="273"/>
        <v>3.3715429695862179E-2</v>
      </c>
      <c r="J578" s="364">
        <f t="shared" si="273"/>
        <v>4.0620556062838035E-2</v>
      </c>
      <c r="K578" s="364">
        <f t="shared" si="273"/>
        <v>4.03893774786689E-2</v>
      </c>
      <c r="L578" s="364">
        <f t="shared" si="273"/>
        <v>2.3065465466330398E-2</v>
      </c>
      <c r="M578" s="364">
        <f t="shared" si="268"/>
        <v>-1.7323912012338502E-2</v>
      </c>
      <c r="N578" s="364">
        <v>3.5999999999999997E-2</v>
      </c>
    </row>
    <row r="579" spans="1:14" x14ac:dyDescent="0.2">
      <c r="B579" s="194" t="s">
        <v>754</v>
      </c>
      <c r="C579" s="245">
        <f t="shared" ref="C579:L579" si="274">+C574/C511</f>
        <v>3951.5335240891864</v>
      </c>
      <c r="D579" s="245">
        <f t="shared" si="274"/>
        <v>4217.5281833672288</v>
      </c>
      <c r="E579" s="245">
        <f t="shared" si="274"/>
        <v>4017.9925702737469</v>
      </c>
      <c r="F579" s="245">
        <f t="shared" si="274"/>
        <v>4286.2531033838295</v>
      </c>
      <c r="G579" s="245">
        <f t="shared" si="274"/>
        <v>4266.0109099205292</v>
      </c>
      <c r="H579" s="245">
        <f t="shared" si="274"/>
        <v>4595.3712855453869</v>
      </c>
      <c r="I579" s="245">
        <f t="shared" si="274"/>
        <v>4682.007030485297</v>
      </c>
      <c r="J579" s="245">
        <f t="shared" si="274"/>
        <v>5040.3001553813738</v>
      </c>
      <c r="K579" s="245">
        <f t="shared" si="274"/>
        <v>4853.1367616499874</v>
      </c>
      <c r="L579" s="245">
        <f t="shared" si="274"/>
        <v>5373.1966388870487</v>
      </c>
      <c r="M579" s="245">
        <f t="shared" si="268"/>
        <v>520.0598772370613</v>
      </c>
      <c r="N579" s="365">
        <v>4914</v>
      </c>
    </row>
    <row r="580" spans="1:14" s="368" customFormat="1" x14ac:dyDescent="0.2">
      <c r="A580" s="195"/>
      <c r="B580" s="194"/>
      <c r="C580" s="366">
        <f t="shared" ref="C580:L580" si="275">+C8</f>
        <v>2003</v>
      </c>
      <c r="D580" s="366">
        <f t="shared" si="275"/>
        <v>2004</v>
      </c>
      <c r="E580" s="366">
        <f t="shared" si="275"/>
        <v>2005</v>
      </c>
      <c r="F580" s="366">
        <f t="shared" si="275"/>
        <v>2006</v>
      </c>
      <c r="G580" s="366">
        <f t="shared" si="275"/>
        <v>2007</v>
      </c>
      <c r="H580" s="366">
        <f t="shared" si="275"/>
        <v>2008</v>
      </c>
      <c r="I580" s="366">
        <f t="shared" si="275"/>
        <v>2009</v>
      </c>
      <c r="J580" s="366">
        <f t="shared" si="275"/>
        <v>2010</v>
      </c>
      <c r="K580" s="366">
        <f t="shared" si="275"/>
        <v>2011</v>
      </c>
      <c r="L580" s="366" t="str">
        <f t="shared" si="275"/>
        <v>Plan2012</v>
      </c>
      <c r="M580" s="367"/>
      <c r="N580" s="367">
        <f>+N8</f>
        <v>2007</v>
      </c>
    </row>
    <row r="581" spans="1:14" x14ac:dyDescent="0.2">
      <c r="B581" s="194" t="s">
        <v>48</v>
      </c>
      <c r="C581" s="369">
        <f t="shared" ref="C581:K581" si="276">+C28</f>
        <v>7537008.6300000008</v>
      </c>
      <c r="D581" s="369">
        <f t="shared" si="276"/>
        <v>7401625.2000000002</v>
      </c>
      <c r="E581" s="369">
        <f t="shared" si="276"/>
        <v>7693399.9700000007</v>
      </c>
      <c r="F581" s="369">
        <f t="shared" si="276"/>
        <v>8302568.4499999993</v>
      </c>
      <c r="G581" s="369">
        <f t="shared" si="276"/>
        <v>9588780.4300000016</v>
      </c>
      <c r="H581" s="369">
        <f t="shared" si="276"/>
        <v>8864455.9600000009</v>
      </c>
      <c r="I581" s="369">
        <f t="shared" si="276"/>
        <v>4706369.5</v>
      </c>
      <c r="J581" s="369">
        <f t="shared" si="276"/>
        <v>3455339.7</v>
      </c>
      <c r="K581" s="369">
        <f t="shared" si="276"/>
        <v>2418599.0500000003</v>
      </c>
      <c r="L581" s="369"/>
      <c r="M581" s="369">
        <f t="shared" ref="M581:M591" si="277">+L581-K581</f>
        <v>-2418599.0500000003</v>
      </c>
    </row>
    <row r="582" spans="1:14" x14ac:dyDescent="0.2">
      <c r="B582" s="194" t="s">
        <v>753</v>
      </c>
      <c r="C582" s="369">
        <f t="shared" ref="C582:K582" si="278">+C581-C583</f>
        <v>2667253.9899999993</v>
      </c>
      <c r="D582" s="369">
        <f t="shared" si="278"/>
        <v>3086676.13</v>
      </c>
      <c r="E582" s="369">
        <f t="shared" si="278"/>
        <v>2812178.1399999997</v>
      </c>
      <c r="F582" s="369">
        <f t="shared" si="278"/>
        <v>2918032.46</v>
      </c>
      <c r="G582" s="369">
        <f t="shared" si="278"/>
        <v>3376183.7</v>
      </c>
      <c r="H582" s="369">
        <f t="shared" si="278"/>
        <v>3105827.9300000006</v>
      </c>
      <c r="I582" s="369">
        <f t="shared" si="278"/>
        <v>1600986.6099999999</v>
      </c>
      <c r="J582" s="369">
        <f t="shared" si="278"/>
        <v>806718.60999999987</v>
      </c>
      <c r="K582" s="369">
        <f t="shared" si="278"/>
        <v>1094160.8400000001</v>
      </c>
      <c r="L582" s="369"/>
      <c r="M582" s="369">
        <f t="shared" si="277"/>
        <v>-1094160.8400000001</v>
      </c>
    </row>
    <row r="583" spans="1:14" x14ac:dyDescent="0.2">
      <c r="B583" s="194" t="s">
        <v>188</v>
      </c>
      <c r="C583" s="369">
        <f t="shared" ref="C583:K583" si="279">+C131</f>
        <v>4869754.6400000015</v>
      </c>
      <c r="D583" s="369">
        <f t="shared" si="279"/>
        <v>4314949.07</v>
      </c>
      <c r="E583" s="369">
        <f t="shared" si="279"/>
        <v>4881221.830000001</v>
      </c>
      <c r="F583" s="369">
        <f t="shared" si="279"/>
        <v>5384535.9899999993</v>
      </c>
      <c r="G583" s="369">
        <f t="shared" si="279"/>
        <v>6212596.7300000014</v>
      </c>
      <c r="H583" s="369">
        <f t="shared" si="279"/>
        <v>5758628.0300000003</v>
      </c>
      <c r="I583" s="369">
        <f t="shared" si="279"/>
        <v>3105382.89</v>
      </c>
      <c r="J583" s="369">
        <f t="shared" si="279"/>
        <v>2648621.0900000003</v>
      </c>
      <c r="K583" s="369">
        <f t="shared" si="279"/>
        <v>1324438.2100000002</v>
      </c>
      <c r="L583" s="369"/>
      <c r="M583" s="369">
        <f t="shared" si="277"/>
        <v>-1324438.2100000002</v>
      </c>
    </row>
    <row r="584" spans="1:14" x14ac:dyDescent="0.2">
      <c r="C584" s="369"/>
      <c r="D584" s="369"/>
      <c r="E584" s="369"/>
      <c r="F584" s="369"/>
      <c r="G584" s="369"/>
      <c r="H584" s="369"/>
      <c r="I584" s="369"/>
      <c r="J584" s="369"/>
      <c r="K584" s="369"/>
      <c r="L584" s="369"/>
      <c r="M584" s="369">
        <f t="shared" si="277"/>
        <v>0</v>
      </c>
    </row>
    <row r="585" spans="1:14" x14ac:dyDescent="0.2">
      <c r="B585" s="194" t="s">
        <v>752</v>
      </c>
      <c r="C585" s="369">
        <f t="shared" ref="C585:K585" si="280">+C470</f>
        <v>2162613.23</v>
      </c>
      <c r="D585" s="369">
        <f t="shared" si="280"/>
        <v>2362293.17</v>
      </c>
      <c r="E585" s="369">
        <f t="shared" si="280"/>
        <v>2508145.12</v>
      </c>
      <c r="F585" s="369">
        <f t="shared" si="280"/>
        <v>2659794.5299999998</v>
      </c>
      <c r="G585" s="369">
        <f t="shared" si="280"/>
        <v>2982834.43</v>
      </c>
      <c r="H585" s="369">
        <f t="shared" si="280"/>
        <v>3335748.6399999997</v>
      </c>
      <c r="I585" s="369">
        <f t="shared" si="280"/>
        <v>2056989.59</v>
      </c>
      <c r="J585" s="369">
        <f t="shared" si="280"/>
        <v>1702117.5999999999</v>
      </c>
      <c r="K585" s="369">
        <f t="shared" si="280"/>
        <v>1203980.58</v>
      </c>
      <c r="L585" s="369"/>
      <c r="M585" s="369">
        <f t="shared" si="277"/>
        <v>-1203980.58</v>
      </c>
    </row>
    <row r="586" spans="1:14" x14ac:dyDescent="0.2">
      <c r="B586" s="194" t="s">
        <v>634</v>
      </c>
      <c r="C586" s="369">
        <f t="shared" ref="C586:K586" si="281">+C335</f>
        <v>391263.88</v>
      </c>
      <c r="D586" s="369">
        <f t="shared" si="281"/>
        <v>120189.14</v>
      </c>
      <c r="E586" s="369">
        <f t="shared" si="281"/>
        <v>300382.90000000002</v>
      </c>
      <c r="F586" s="369">
        <f t="shared" si="281"/>
        <v>561489.66</v>
      </c>
      <c r="G586" s="369">
        <f t="shared" si="281"/>
        <v>619510.68999999994</v>
      </c>
      <c r="H586" s="369">
        <f t="shared" si="281"/>
        <v>54668.43</v>
      </c>
      <c r="I586" s="369">
        <f t="shared" si="281"/>
        <v>24961.86</v>
      </c>
      <c r="J586" s="369">
        <f t="shared" si="281"/>
        <v>0</v>
      </c>
      <c r="K586" s="369">
        <f t="shared" si="281"/>
        <v>0</v>
      </c>
      <c r="L586" s="369"/>
      <c r="M586" s="369">
        <f t="shared" si="277"/>
        <v>0</v>
      </c>
    </row>
    <row r="587" spans="1:14" x14ac:dyDescent="0.2">
      <c r="B587" s="194" t="s">
        <v>751</v>
      </c>
      <c r="C587" s="369">
        <f t="shared" ref="C587:K587" si="282">+C336</f>
        <v>375325.56</v>
      </c>
      <c r="D587" s="369">
        <f t="shared" si="282"/>
        <v>378295.19</v>
      </c>
      <c r="E587" s="369">
        <f t="shared" si="282"/>
        <v>410022.55</v>
      </c>
      <c r="F587" s="369">
        <f t="shared" si="282"/>
        <v>470912.92</v>
      </c>
      <c r="G587" s="369">
        <f t="shared" si="282"/>
        <v>515795.31</v>
      </c>
      <c r="H587" s="369">
        <f t="shared" si="282"/>
        <v>3646.95</v>
      </c>
      <c r="I587" s="369">
        <f t="shared" si="282"/>
        <v>0</v>
      </c>
      <c r="J587" s="369">
        <f t="shared" si="282"/>
        <v>0</v>
      </c>
      <c r="K587" s="369">
        <f t="shared" si="282"/>
        <v>0</v>
      </c>
      <c r="L587" s="369"/>
      <c r="M587" s="369">
        <f t="shared" si="277"/>
        <v>0</v>
      </c>
    </row>
    <row r="588" spans="1:14" x14ac:dyDescent="0.2">
      <c r="B588" s="194" t="s">
        <v>750</v>
      </c>
      <c r="C588" s="369">
        <f t="shared" ref="C588:K588" si="283">+C585+C586+C587</f>
        <v>2929202.67</v>
      </c>
      <c r="D588" s="369">
        <f t="shared" si="283"/>
        <v>2860777.5</v>
      </c>
      <c r="E588" s="369">
        <f t="shared" si="283"/>
        <v>3218550.57</v>
      </c>
      <c r="F588" s="369">
        <f t="shared" si="283"/>
        <v>3692197.11</v>
      </c>
      <c r="G588" s="369">
        <f t="shared" si="283"/>
        <v>4118140.43</v>
      </c>
      <c r="H588" s="369">
        <f t="shared" si="283"/>
        <v>3394064.02</v>
      </c>
      <c r="I588" s="369">
        <f t="shared" si="283"/>
        <v>2081951.4500000002</v>
      </c>
      <c r="J588" s="369">
        <f t="shared" si="283"/>
        <v>1702117.5999999999</v>
      </c>
      <c r="K588" s="369">
        <f t="shared" si="283"/>
        <v>1203980.58</v>
      </c>
      <c r="L588" s="369"/>
      <c r="M588" s="369">
        <f t="shared" si="277"/>
        <v>-1203980.58</v>
      </c>
    </row>
    <row r="589" spans="1:14" x14ac:dyDescent="0.2">
      <c r="C589" s="369"/>
      <c r="D589" s="369"/>
      <c r="E589" s="369"/>
      <c r="F589" s="369"/>
      <c r="G589" s="369"/>
      <c r="H589" s="369"/>
      <c r="I589" s="369"/>
      <c r="J589" s="369"/>
      <c r="K589" s="369"/>
      <c r="L589" s="369"/>
      <c r="M589" s="369">
        <f t="shared" si="277"/>
        <v>0</v>
      </c>
    </row>
    <row r="590" spans="1:14" x14ac:dyDescent="0.2">
      <c r="B590" s="194" t="s">
        <v>749</v>
      </c>
      <c r="C590" s="369">
        <f t="shared" ref="C590:K590" si="284">+C322</f>
        <v>1516299.8300000015</v>
      </c>
      <c r="D590" s="369">
        <f t="shared" si="284"/>
        <v>563994.5299999998</v>
      </c>
      <c r="E590" s="369">
        <f t="shared" si="284"/>
        <v>1030456.600000001</v>
      </c>
      <c r="F590" s="369">
        <f t="shared" si="284"/>
        <v>1253759.5399999991</v>
      </c>
      <c r="G590" s="369">
        <f t="shared" si="284"/>
        <v>1479900.3400000012</v>
      </c>
      <c r="H590" s="369">
        <f t="shared" si="284"/>
        <v>652772.49000000022</v>
      </c>
      <c r="I590" s="369">
        <f t="shared" si="284"/>
        <v>-194698.63999999966</v>
      </c>
      <c r="J590" s="369">
        <f t="shared" si="284"/>
        <v>-122644.61999999965</v>
      </c>
      <c r="K590" s="369">
        <f t="shared" si="284"/>
        <v>-674948.99999999965</v>
      </c>
      <c r="L590" s="369"/>
      <c r="M590" s="369">
        <f t="shared" si="277"/>
        <v>674948.99999999965</v>
      </c>
    </row>
    <row r="591" spans="1:14" x14ac:dyDescent="0.2">
      <c r="B591" s="194" t="s">
        <v>748</v>
      </c>
      <c r="C591" s="293">
        <f t="shared" ref="C591:L591" si="285">+C511</f>
        <v>42.079022988505749</v>
      </c>
      <c r="D591" s="293">
        <f t="shared" si="285"/>
        <v>43.73317307692308</v>
      </c>
      <c r="E591" s="293">
        <f t="shared" si="285"/>
        <v>46.922413793103445</v>
      </c>
      <c r="F591" s="293">
        <f t="shared" si="285"/>
        <v>46.125957854406131</v>
      </c>
      <c r="G591" s="293">
        <f t="shared" si="285"/>
        <v>50.38122605363985</v>
      </c>
      <c r="H591" s="293">
        <f t="shared" si="285"/>
        <v>54.477576335877863</v>
      </c>
      <c r="I591" s="293">
        <f t="shared" si="285"/>
        <v>33.890865384615381</v>
      </c>
      <c r="J591" s="293">
        <f t="shared" si="285"/>
        <v>27.847115384615385</v>
      </c>
      <c r="K591" s="293">
        <f t="shared" si="285"/>
        <v>20.128365384615385</v>
      </c>
      <c r="L591" s="293">
        <f t="shared" si="285"/>
        <v>18.633587786259543</v>
      </c>
      <c r="M591" s="293">
        <f t="shared" si="277"/>
        <v>-1.4947775983558422</v>
      </c>
    </row>
  </sheetData>
  <printOptions horizontalCentered="1" verticalCentered="1" headings="1"/>
  <pageMargins left="0.7" right="0.7" top="0.75" bottom="0.75" header="0.3" footer="0.3"/>
  <pageSetup scale="66" fitToHeight="0" orientation="landscape" blackAndWhite="1" horizontalDpi="300" verticalDpi="300" r:id="rId1"/>
  <headerFooter>
    <oddHeader>&amp;L&amp;D
&amp;T&amp;C&amp;"Times New Roman,Italic"CAPP * Computer Aided Profit Plan
For Design Firm Financial Contorl
Profit Plan</oddHeader>
    <oddFooter>&amp;L&amp;A&amp;R&amp;P</oddFooter>
  </headerFooter>
  <rowBreaks count="12" manualBreakCount="12">
    <brk id="46" max="12" man="1"/>
    <brk id="79" max="12" man="1"/>
    <brk id="132" max="12" man="1"/>
    <brk id="170" max="12" man="1"/>
    <brk id="209" max="12" man="1"/>
    <brk id="268" max="12" man="1"/>
    <brk id="323" max="12" man="1"/>
    <brk id="360" max="12" man="1"/>
    <brk id="407" max="12" man="1"/>
    <brk id="442" max="12" man="1"/>
    <brk id="478" max="12" man="1"/>
    <brk id="533" max="12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9"/>
  <sheetViews>
    <sheetView view="pageBreakPreview" zoomScaleNormal="100" zoomScaleSheetLayoutView="100" workbookViewId="0">
      <selection sqref="A1:XFD1048576"/>
    </sheetView>
  </sheetViews>
  <sheetFormatPr defaultRowHeight="11.25" x14ac:dyDescent="0.2"/>
  <cols>
    <col min="1" max="1" width="24.375" style="142" customWidth="1"/>
    <col min="2" max="2" width="8.875" style="144" customWidth="1"/>
    <col min="3" max="4" width="6.5" style="142" bestFit="1" customWidth="1"/>
    <col min="5" max="14" width="7.375" style="142" bestFit="1" customWidth="1"/>
    <col min="15" max="15" width="7.75" style="142" bestFit="1" customWidth="1"/>
    <col min="16" max="102" width="9" style="142"/>
    <col min="103" max="103" width="9.5" style="142" customWidth="1"/>
    <col min="104" max="16384" width="9" style="142"/>
  </cols>
  <sheetData>
    <row r="1" spans="1:15" x14ac:dyDescent="0.2">
      <c r="A1" s="97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x14ac:dyDescent="0.2">
      <c r="A2" s="143" t="s">
        <v>110</v>
      </c>
    </row>
    <row r="3" spans="1:15" x14ac:dyDescent="0.2">
      <c r="A3" s="145" t="s">
        <v>623</v>
      </c>
    </row>
    <row r="4" spans="1:15" s="148" customFormat="1" ht="12" customHeight="1" x14ac:dyDescent="0.2">
      <c r="A4" s="849">
        <v>41274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5" s="149" customFormat="1" ht="12.75" x14ac:dyDescent="0.2">
      <c r="B5" s="150" t="s">
        <v>938</v>
      </c>
      <c r="C5" s="848" t="s">
        <v>65</v>
      </c>
      <c r="D5" s="848" t="s">
        <v>66</v>
      </c>
      <c r="E5" s="848" t="s">
        <v>67</v>
      </c>
      <c r="F5" s="848" t="s">
        <v>68</v>
      </c>
      <c r="G5" s="848" t="s">
        <v>69</v>
      </c>
      <c r="H5" s="848" t="s">
        <v>70</v>
      </c>
      <c r="I5" s="848" t="s">
        <v>71</v>
      </c>
      <c r="J5" s="848" t="s">
        <v>72</v>
      </c>
      <c r="K5" s="848" t="s">
        <v>73</v>
      </c>
      <c r="L5" s="848" t="s">
        <v>74</v>
      </c>
      <c r="M5" s="848" t="s">
        <v>63</v>
      </c>
      <c r="N5" s="848" t="s">
        <v>64</v>
      </c>
      <c r="O5" s="848" t="s">
        <v>65</v>
      </c>
    </row>
    <row r="6" spans="1:15" s="153" customFormat="1" ht="12.75" x14ac:dyDescent="0.2">
      <c r="A6" s="151" t="s">
        <v>937</v>
      </c>
      <c r="B6" s="152" t="s">
        <v>52</v>
      </c>
      <c r="C6" s="559" t="s">
        <v>1</v>
      </c>
      <c r="D6" s="559" t="s">
        <v>1</v>
      </c>
      <c r="E6" s="559" t="s">
        <v>1</v>
      </c>
      <c r="F6" s="559" t="s">
        <v>1</v>
      </c>
      <c r="G6" s="559" t="s">
        <v>1</v>
      </c>
      <c r="H6" s="559" t="s">
        <v>1</v>
      </c>
      <c r="I6" s="559" t="s">
        <v>1</v>
      </c>
      <c r="J6" s="559" t="s">
        <v>1</v>
      </c>
      <c r="K6" s="559" t="s">
        <v>1</v>
      </c>
      <c r="L6" s="559" t="s">
        <v>1</v>
      </c>
      <c r="M6" s="559" t="s">
        <v>1</v>
      </c>
      <c r="N6" s="559" t="s">
        <v>1</v>
      </c>
      <c r="O6" s="559" t="s">
        <v>1</v>
      </c>
    </row>
    <row r="7" spans="1:15" s="156" customFormat="1" ht="13.5" thickBot="1" x14ac:dyDescent="0.25">
      <c r="A7" s="154"/>
      <c r="B7" s="155"/>
      <c r="C7" s="850">
        <v>1</v>
      </c>
      <c r="D7" s="850">
        <v>2</v>
      </c>
      <c r="E7" s="850">
        <v>3</v>
      </c>
      <c r="F7" s="850">
        <v>4</v>
      </c>
      <c r="G7" s="850">
        <v>5</v>
      </c>
      <c r="H7" s="850">
        <v>6</v>
      </c>
      <c r="I7" s="850">
        <v>7</v>
      </c>
      <c r="J7" s="850">
        <v>8</v>
      </c>
      <c r="K7" s="850">
        <v>9</v>
      </c>
      <c r="L7" s="850">
        <v>10</v>
      </c>
      <c r="M7" s="850">
        <v>11</v>
      </c>
      <c r="N7" s="850">
        <v>12</v>
      </c>
      <c r="O7" s="850">
        <v>1</v>
      </c>
    </row>
    <row r="8" spans="1:15" s="102" customFormat="1" x14ac:dyDescent="0.2">
      <c r="B8" s="157"/>
    </row>
    <row r="9" spans="1:15" s="102" customFormat="1" ht="13.5" thickBot="1" x14ac:dyDescent="0.25">
      <c r="A9" s="102" t="s">
        <v>35</v>
      </c>
      <c r="B9" s="854">
        <f>+'Tab-22 ProfitPlan'!C322</f>
        <v>372545.22981396562</v>
      </c>
      <c r="C9" s="102">
        <f>B9/12</f>
        <v>31045.435817830468</v>
      </c>
      <c r="D9" s="102">
        <f t="shared" ref="D9:N9" si="0">C9</f>
        <v>31045.435817830468</v>
      </c>
      <c r="E9" s="102">
        <f t="shared" si="0"/>
        <v>31045.435817830468</v>
      </c>
      <c r="F9" s="102">
        <f t="shared" si="0"/>
        <v>31045.435817830468</v>
      </c>
      <c r="G9" s="102">
        <f t="shared" si="0"/>
        <v>31045.435817830468</v>
      </c>
      <c r="H9" s="102">
        <f t="shared" si="0"/>
        <v>31045.435817830468</v>
      </c>
      <c r="I9" s="102">
        <f t="shared" si="0"/>
        <v>31045.435817830468</v>
      </c>
      <c r="J9" s="102">
        <f t="shared" si="0"/>
        <v>31045.435817830468</v>
      </c>
      <c r="K9" s="102">
        <f t="shared" si="0"/>
        <v>31045.435817830468</v>
      </c>
      <c r="L9" s="102">
        <f t="shared" si="0"/>
        <v>31045.435817830468</v>
      </c>
      <c r="M9" s="102">
        <f t="shared" si="0"/>
        <v>31045.435817830468</v>
      </c>
      <c r="N9" s="102">
        <f t="shared" si="0"/>
        <v>31045.435817830468</v>
      </c>
    </row>
    <row r="10" spans="1:15" s="102" customFormat="1" ht="14.25" thickTop="1" thickBot="1" x14ac:dyDescent="0.25">
      <c r="A10" s="158" t="s">
        <v>812</v>
      </c>
      <c r="B10" s="854">
        <f>+'Tab-22 ProfitPlan'!C330</f>
        <v>165</v>
      </c>
      <c r="C10" s="158">
        <f>B10/12</f>
        <v>13.75</v>
      </c>
      <c r="D10" s="158">
        <f t="shared" ref="D10:N10" si="1">C10</f>
        <v>13.75</v>
      </c>
      <c r="E10" s="158">
        <f t="shared" si="1"/>
        <v>13.75</v>
      </c>
      <c r="F10" s="158">
        <f t="shared" si="1"/>
        <v>13.75</v>
      </c>
      <c r="G10" s="158">
        <f t="shared" si="1"/>
        <v>13.75</v>
      </c>
      <c r="H10" s="158">
        <f t="shared" si="1"/>
        <v>13.75</v>
      </c>
      <c r="I10" s="158">
        <f t="shared" si="1"/>
        <v>13.75</v>
      </c>
      <c r="J10" s="158">
        <f t="shared" si="1"/>
        <v>13.75</v>
      </c>
      <c r="K10" s="158">
        <f t="shared" si="1"/>
        <v>13.75</v>
      </c>
      <c r="L10" s="158">
        <f t="shared" si="1"/>
        <v>13.75</v>
      </c>
      <c r="M10" s="158">
        <f t="shared" si="1"/>
        <v>13.75</v>
      </c>
      <c r="N10" s="158">
        <f t="shared" si="1"/>
        <v>13.75</v>
      </c>
      <c r="O10" s="158"/>
    </row>
    <row r="11" spans="1:15" s="102" customFormat="1" x14ac:dyDescent="0.2">
      <c r="B11" s="157"/>
      <c r="C11" s="102">
        <f>B11/12</f>
        <v>0</v>
      </c>
      <c r="D11" s="102">
        <f t="shared" ref="D11:N11" si="2">C11</f>
        <v>0</v>
      </c>
      <c r="E11" s="102">
        <f t="shared" si="2"/>
        <v>0</v>
      </c>
      <c r="F11" s="102">
        <f t="shared" si="2"/>
        <v>0</v>
      </c>
      <c r="G11" s="102">
        <f t="shared" si="2"/>
        <v>0</v>
      </c>
      <c r="H11" s="102">
        <f t="shared" si="2"/>
        <v>0</v>
      </c>
      <c r="I11" s="102">
        <f t="shared" si="2"/>
        <v>0</v>
      </c>
      <c r="J11" s="102">
        <f t="shared" si="2"/>
        <v>0</v>
      </c>
      <c r="K11" s="102">
        <f t="shared" si="2"/>
        <v>0</v>
      </c>
      <c r="L11" s="102">
        <f t="shared" si="2"/>
        <v>0</v>
      </c>
      <c r="M11" s="102">
        <f t="shared" si="2"/>
        <v>0</v>
      </c>
      <c r="N11" s="102">
        <f t="shared" si="2"/>
        <v>0</v>
      </c>
    </row>
    <row r="12" spans="1:15" s="102" customFormat="1" ht="12" thickBot="1" x14ac:dyDescent="0.25">
      <c r="A12" s="158" t="s">
        <v>936</v>
      </c>
      <c r="B12" s="158">
        <f t="shared" ref="B12:N12" si="3">+-B10+B9</f>
        <v>372380.22981396562</v>
      </c>
      <c r="C12" s="158">
        <f t="shared" si="3"/>
        <v>31031.685817830468</v>
      </c>
      <c r="D12" s="158">
        <f t="shared" si="3"/>
        <v>31031.685817830468</v>
      </c>
      <c r="E12" s="158">
        <f t="shared" si="3"/>
        <v>31031.685817830468</v>
      </c>
      <c r="F12" s="158">
        <f t="shared" si="3"/>
        <v>31031.685817830468</v>
      </c>
      <c r="G12" s="158">
        <f t="shared" si="3"/>
        <v>31031.685817830468</v>
      </c>
      <c r="H12" s="158">
        <f t="shared" si="3"/>
        <v>31031.685817830468</v>
      </c>
      <c r="I12" s="158">
        <f t="shared" si="3"/>
        <v>31031.685817830468</v>
      </c>
      <c r="J12" s="158">
        <f t="shared" si="3"/>
        <v>31031.685817830468</v>
      </c>
      <c r="K12" s="158">
        <f t="shared" si="3"/>
        <v>31031.685817830468</v>
      </c>
      <c r="L12" s="158">
        <f t="shared" si="3"/>
        <v>31031.685817830468</v>
      </c>
      <c r="M12" s="158">
        <f t="shared" si="3"/>
        <v>31031.685817830468</v>
      </c>
      <c r="N12" s="158">
        <f t="shared" si="3"/>
        <v>31031.685817830468</v>
      </c>
      <c r="O12" s="158"/>
    </row>
    <row r="13" spans="1:15" s="102" customFormat="1" x14ac:dyDescent="0.2">
      <c r="B13" s="157"/>
    </row>
    <row r="14" spans="1:15" s="102" customFormat="1" x14ac:dyDescent="0.2">
      <c r="A14" s="159" t="s">
        <v>935</v>
      </c>
      <c r="B14" s="157"/>
    </row>
    <row r="15" spans="1:15" s="102" customFormat="1" ht="13.5" thickBot="1" x14ac:dyDescent="0.25">
      <c r="A15" s="102" t="s">
        <v>934</v>
      </c>
      <c r="B15" s="853">
        <f>+'Tab-22 ProfitPlan'!C270+'Tab-22 ProfitPlan'!C271+'Tab-22 ProfitPlan'!C272+'Tab-22 ProfitPlan'!C273+'Tab-22 ProfitPlan'!C274+'Tab-22 ProfitPlan'!C275+'Tab-22 ProfitPlan'!C276</f>
        <v>421.68</v>
      </c>
      <c r="C15" s="813">
        <f>B15/12</f>
        <v>35.14</v>
      </c>
      <c r="D15" s="813">
        <f t="shared" ref="D15:N15" si="4">C15</f>
        <v>35.14</v>
      </c>
      <c r="E15" s="813">
        <f t="shared" si="4"/>
        <v>35.14</v>
      </c>
      <c r="F15" s="813">
        <f t="shared" si="4"/>
        <v>35.14</v>
      </c>
      <c r="G15" s="813">
        <f t="shared" si="4"/>
        <v>35.14</v>
      </c>
      <c r="H15" s="813">
        <f t="shared" si="4"/>
        <v>35.14</v>
      </c>
      <c r="I15" s="813">
        <f t="shared" si="4"/>
        <v>35.14</v>
      </c>
      <c r="J15" s="813">
        <f t="shared" si="4"/>
        <v>35.14</v>
      </c>
      <c r="K15" s="813">
        <f t="shared" si="4"/>
        <v>35.14</v>
      </c>
      <c r="L15" s="813">
        <f t="shared" si="4"/>
        <v>35.14</v>
      </c>
      <c r="M15" s="813">
        <f t="shared" si="4"/>
        <v>35.14</v>
      </c>
      <c r="N15" s="813">
        <f t="shared" si="4"/>
        <v>35.14</v>
      </c>
    </row>
    <row r="16" spans="1:15" s="95" customFormat="1" ht="13.5" thickTop="1" x14ac:dyDescent="0.2">
      <c r="B16" s="851">
        <f>SUM(C16:O16)</f>
        <v>0</v>
      </c>
      <c r="C16" s="832"/>
      <c r="D16" s="832"/>
      <c r="E16" s="832">
        <v>0</v>
      </c>
      <c r="F16" s="832"/>
      <c r="G16" s="832"/>
      <c r="H16" s="832"/>
      <c r="I16" s="832"/>
      <c r="J16" s="832"/>
      <c r="K16" s="832"/>
      <c r="L16" s="832"/>
      <c r="M16" s="832"/>
      <c r="N16" s="832"/>
    </row>
    <row r="17" spans="1:15" s="95" customFormat="1" ht="12.75" x14ac:dyDescent="0.2">
      <c r="A17" s="160"/>
      <c r="B17" s="851">
        <f>SUM(C17:O17)</f>
        <v>0</v>
      </c>
      <c r="C17" s="832"/>
      <c r="D17" s="832">
        <v>0</v>
      </c>
      <c r="E17" s="832">
        <v>0</v>
      </c>
      <c r="F17" s="832"/>
      <c r="G17" s="832">
        <v>0</v>
      </c>
      <c r="H17" s="832"/>
      <c r="I17" s="832"/>
      <c r="J17" s="832"/>
      <c r="K17" s="832"/>
      <c r="L17" s="832"/>
      <c r="M17" s="832"/>
      <c r="N17" s="832"/>
    </row>
    <row r="18" spans="1:15" s="102" customFormat="1" ht="13.5" thickBot="1" x14ac:dyDescent="0.25">
      <c r="A18" s="161" t="s">
        <v>933</v>
      </c>
      <c r="B18" s="852">
        <f>SUM(C18:O18)</f>
        <v>0</v>
      </c>
      <c r="C18" s="815"/>
      <c r="D18" s="850">
        <v>0</v>
      </c>
      <c r="E18" s="850">
        <v>0</v>
      </c>
      <c r="F18" s="850">
        <v>0</v>
      </c>
      <c r="G18" s="850">
        <v>0</v>
      </c>
      <c r="H18" s="850">
        <v>0</v>
      </c>
      <c r="I18" s="850">
        <v>0</v>
      </c>
      <c r="J18" s="850">
        <v>0</v>
      </c>
      <c r="K18" s="850">
        <v>0</v>
      </c>
      <c r="L18" s="850">
        <v>0</v>
      </c>
      <c r="M18" s="850">
        <v>0</v>
      </c>
      <c r="N18" s="815">
        <f>+C18*-1</f>
        <v>0</v>
      </c>
      <c r="O18" s="158"/>
    </row>
    <row r="19" spans="1:15" s="102" customFormat="1" x14ac:dyDescent="0.2">
      <c r="B19" s="157"/>
    </row>
    <row r="20" spans="1:15" s="102" customFormat="1" ht="12" thickBot="1" x14ac:dyDescent="0.25">
      <c r="A20" s="158" t="s">
        <v>932</v>
      </c>
      <c r="B20" s="158">
        <f t="shared" ref="B20:N20" si="5">SUM(B15:B19)</f>
        <v>421.68</v>
      </c>
      <c r="C20" s="158">
        <f t="shared" si="5"/>
        <v>35.14</v>
      </c>
      <c r="D20" s="158">
        <f t="shared" si="5"/>
        <v>35.14</v>
      </c>
      <c r="E20" s="158">
        <f t="shared" si="5"/>
        <v>35.14</v>
      </c>
      <c r="F20" s="158">
        <f t="shared" si="5"/>
        <v>35.14</v>
      </c>
      <c r="G20" s="158">
        <f t="shared" si="5"/>
        <v>35.14</v>
      </c>
      <c r="H20" s="158">
        <f t="shared" si="5"/>
        <v>35.14</v>
      </c>
      <c r="I20" s="158">
        <f t="shared" si="5"/>
        <v>35.14</v>
      </c>
      <c r="J20" s="158">
        <f t="shared" si="5"/>
        <v>35.14</v>
      </c>
      <c r="K20" s="158">
        <f t="shared" si="5"/>
        <v>35.14</v>
      </c>
      <c r="L20" s="158">
        <f t="shared" si="5"/>
        <v>35.14</v>
      </c>
      <c r="M20" s="158">
        <f t="shared" si="5"/>
        <v>35.14</v>
      </c>
      <c r="N20" s="158">
        <f t="shared" si="5"/>
        <v>35.14</v>
      </c>
      <c r="O20" s="158"/>
    </row>
    <row r="21" spans="1:15" s="102" customFormat="1" x14ac:dyDescent="0.2">
      <c r="B21" s="157"/>
    </row>
    <row r="22" spans="1:15" s="102" customFormat="1" x14ac:dyDescent="0.2">
      <c r="A22" s="159" t="s">
        <v>931</v>
      </c>
      <c r="B22" s="157"/>
    </row>
    <row r="23" spans="1:15" s="102" customFormat="1" ht="12.75" x14ac:dyDescent="0.2">
      <c r="A23" s="813" t="s">
        <v>930</v>
      </c>
      <c r="B23" s="813">
        <f>+'Tab-20 ProfitTarget'!C8</f>
        <v>2646.1350379060968</v>
      </c>
      <c r="C23" s="814"/>
      <c r="D23" s="814"/>
      <c r="E23" s="814"/>
      <c r="F23" s="814"/>
      <c r="G23" s="814"/>
      <c r="H23" s="814"/>
      <c r="I23" s="814"/>
      <c r="J23" s="814"/>
      <c r="K23" s="814"/>
      <c r="L23" s="814"/>
      <c r="M23" s="814"/>
      <c r="N23" s="813">
        <f>+B23</f>
        <v>2646.1350379060968</v>
      </c>
    </row>
    <row r="24" spans="1:15" s="102" customFormat="1" ht="12.75" x14ac:dyDescent="0.2">
      <c r="A24" s="813" t="s">
        <v>721</v>
      </c>
      <c r="B24" s="813">
        <f>+'Tab-21 Labor Budget'!BK38</f>
        <v>37408.201291730758</v>
      </c>
      <c r="C24" s="814">
        <v>0</v>
      </c>
      <c r="D24" s="814"/>
      <c r="E24" s="814">
        <v>0</v>
      </c>
      <c r="F24" s="814"/>
      <c r="G24" s="814"/>
      <c r="H24" s="814"/>
      <c r="I24" s="814"/>
      <c r="J24" s="814"/>
      <c r="K24" s="814"/>
      <c r="L24" s="814"/>
      <c r="M24" s="814">
        <v>0</v>
      </c>
      <c r="N24" s="813">
        <f>+B24-D24</f>
        <v>37408.201291730758</v>
      </c>
    </row>
    <row r="25" spans="1:15" s="102" customFormat="1" ht="12.75" x14ac:dyDescent="0.2">
      <c r="A25" s="813" t="s">
        <v>709</v>
      </c>
      <c r="B25" s="813">
        <f>+'Tab-21 Labor Budget'!BJ38</f>
        <v>38530.44733048269</v>
      </c>
      <c r="C25" s="814"/>
      <c r="D25" s="814">
        <v>0</v>
      </c>
      <c r="E25" s="814"/>
      <c r="F25" s="814"/>
      <c r="G25" s="814"/>
      <c r="H25" s="814"/>
      <c r="I25" s="814"/>
      <c r="J25" s="814"/>
      <c r="K25" s="814"/>
      <c r="L25" s="814"/>
      <c r="M25" s="814">
        <v>0</v>
      </c>
      <c r="N25" s="826">
        <f>+B25</f>
        <v>38530.44733048269</v>
      </c>
    </row>
    <row r="26" spans="1:15" s="102" customFormat="1" ht="12.75" x14ac:dyDescent="0.2">
      <c r="A26" s="813" t="s">
        <v>929</v>
      </c>
      <c r="B26" s="851"/>
      <c r="C26" s="814">
        <v>0</v>
      </c>
      <c r="D26" s="814"/>
      <c r="E26" s="814"/>
      <c r="F26" s="814"/>
      <c r="G26" s="814"/>
      <c r="H26" s="814"/>
      <c r="I26" s="814"/>
      <c r="J26" s="814"/>
      <c r="K26" s="814"/>
      <c r="L26" s="814"/>
      <c r="M26" s="814"/>
      <c r="N26" s="814"/>
    </row>
    <row r="27" spans="1:15" s="102" customFormat="1" ht="12.75" x14ac:dyDescent="0.2">
      <c r="A27" s="813" t="s">
        <v>928</v>
      </c>
      <c r="B27" s="851"/>
      <c r="C27" s="814"/>
      <c r="D27" s="814"/>
      <c r="E27" s="814">
        <v>0</v>
      </c>
      <c r="F27" s="814"/>
      <c r="G27" s="814"/>
      <c r="H27" s="814"/>
      <c r="I27" s="814"/>
      <c r="J27" s="814"/>
      <c r="K27" s="814"/>
      <c r="L27" s="814"/>
      <c r="M27" s="814"/>
      <c r="N27" s="814"/>
    </row>
    <row r="28" spans="1:15" s="102" customFormat="1" ht="12.75" x14ac:dyDescent="0.2">
      <c r="A28" s="813" t="s">
        <v>927</v>
      </c>
      <c r="B28" s="851">
        <f>+Principals__return_on_investment</f>
        <v>0</v>
      </c>
      <c r="C28" s="814"/>
      <c r="D28" s="814"/>
      <c r="E28" s="814"/>
      <c r="F28" s="814"/>
      <c r="G28" s="814"/>
      <c r="H28" s="814"/>
      <c r="I28" s="814"/>
      <c r="J28" s="814"/>
      <c r="K28" s="814"/>
      <c r="L28" s="814"/>
      <c r="M28" s="814"/>
      <c r="N28" s="814">
        <f>+B28</f>
        <v>0</v>
      </c>
    </row>
    <row r="29" spans="1:15" s="102" customFormat="1" ht="12.75" x14ac:dyDescent="0.2">
      <c r="A29" s="813" t="s">
        <v>926</v>
      </c>
      <c r="B29" s="813">
        <f>+Depreciation</f>
        <v>421.68</v>
      </c>
      <c r="C29" s="814">
        <f>+B29/12</f>
        <v>35.14</v>
      </c>
      <c r="D29" s="814">
        <f t="shared" ref="D29:N29" si="6">+C29</f>
        <v>35.14</v>
      </c>
      <c r="E29" s="814">
        <f t="shared" si="6"/>
        <v>35.14</v>
      </c>
      <c r="F29" s="814">
        <f t="shared" si="6"/>
        <v>35.14</v>
      </c>
      <c r="G29" s="814">
        <f t="shared" si="6"/>
        <v>35.14</v>
      </c>
      <c r="H29" s="814">
        <f t="shared" si="6"/>
        <v>35.14</v>
      </c>
      <c r="I29" s="814">
        <f t="shared" si="6"/>
        <v>35.14</v>
      </c>
      <c r="J29" s="814">
        <f t="shared" si="6"/>
        <v>35.14</v>
      </c>
      <c r="K29" s="814">
        <f t="shared" si="6"/>
        <v>35.14</v>
      </c>
      <c r="L29" s="814">
        <f t="shared" si="6"/>
        <v>35.14</v>
      </c>
      <c r="M29" s="814">
        <f t="shared" si="6"/>
        <v>35.14</v>
      </c>
      <c r="N29" s="814">
        <f t="shared" si="6"/>
        <v>35.14</v>
      </c>
    </row>
    <row r="30" spans="1:15" s="102" customFormat="1" ht="12.75" x14ac:dyDescent="0.2">
      <c r="A30" s="813"/>
      <c r="B30" s="851">
        <f>+N30</f>
        <v>0</v>
      </c>
      <c r="C30" s="814"/>
      <c r="D30" s="814"/>
      <c r="E30" s="814"/>
      <c r="F30" s="814"/>
      <c r="G30" s="814"/>
      <c r="H30" s="814"/>
      <c r="I30" s="814"/>
      <c r="J30" s="814"/>
      <c r="K30" s="814"/>
      <c r="L30" s="814"/>
      <c r="M30" s="814"/>
      <c r="N30" s="814">
        <v>0</v>
      </c>
    </row>
    <row r="31" spans="1:15" s="102" customFormat="1" ht="12.75" x14ac:dyDescent="0.2">
      <c r="A31" s="813"/>
      <c r="B31" s="851">
        <f>SUM(C31:N31)</f>
        <v>0</v>
      </c>
      <c r="C31" s="814"/>
      <c r="D31" s="814">
        <v>0</v>
      </c>
      <c r="E31" s="814">
        <v>0</v>
      </c>
      <c r="F31" s="814"/>
      <c r="G31" s="814"/>
      <c r="H31" s="814"/>
      <c r="I31" s="814">
        <v>0</v>
      </c>
      <c r="J31" s="814"/>
      <c r="K31" s="814"/>
      <c r="L31" s="814"/>
      <c r="M31" s="814"/>
      <c r="N31" s="814"/>
    </row>
    <row r="32" spans="1:15" s="102" customFormat="1" x14ac:dyDescent="0.2">
      <c r="B32" s="157"/>
    </row>
    <row r="33" spans="1:15" s="102" customFormat="1" ht="12" thickBot="1" x14ac:dyDescent="0.25">
      <c r="A33" s="158" t="s">
        <v>925</v>
      </c>
      <c r="B33" s="158">
        <f t="shared" ref="B33:N33" si="7">SUM(B22:B32)</f>
        <v>79006.463660119538</v>
      </c>
      <c r="C33" s="158">
        <f t="shared" si="7"/>
        <v>35.14</v>
      </c>
      <c r="D33" s="158">
        <f t="shared" si="7"/>
        <v>35.14</v>
      </c>
      <c r="E33" s="158">
        <f t="shared" si="7"/>
        <v>35.14</v>
      </c>
      <c r="F33" s="158">
        <f t="shared" si="7"/>
        <v>35.14</v>
      </c>
      <c r="G33" s="158">
        <f t="shared" si="7"/>
        <v>35.14</v>
      </c>
      <c r="H33" s="158">
        <f t="shared" si="7"/>
        <v>35.14</v>
      </c>
      <c r="I33" s="158">
        <f t="shared" si="7"/>
        <v>35.14</v>
      </c>
      <c r="J33" s="158">
        <f t="shared" si="7"/>
        <v>35.14</v>
      </c>
      <c r="K33" s="158">
        <f t="shared" si="7"/>
        <v>35.14</v>
      </c>
      <c r="L33" s="158">
        <f t="shared" si="7"/>
        <v>35.14</v>
      </c>
      <c r="M33" s="158">
        <f t="shared" si="7"/>
        <v>35.14</v>
      </c>
      <c r="N33" s="158">
        <f t="shared" si="7"/>
        <v>78619.923660119544</v>
      </c>
      <c r="O33" s="158"/>
    </row>
    <row r="34" spans="1:15" s="102" customFormat="1" x14ac:dyDescent="0.2">
      <c r="B34" s="157" t="s">
        <v>671</v>
      </c>
    </row>
    <row r="35" spans="1:15" s="102" customFormat="1" x14ac:dyDescent="0.2">
      <c r="A35" s="102" t="s">
        <v>924</v>
      </c>
      <c r="B35" s="102">
        <f t="shared" ref="B35:N35" si="8">B12+B20-B33</f>
        <v>293795.4461538461</v>
      </c>
      <c r="C35" s="102">
        <f t="shared" si="8"/>
        <v>31031.685817830468</v>
      </c>
      <c r="D35" s="102">
        <f t="shared" si="8"/>
        <v>31031.685817830468</v>
      </c>
      <c r="E35" s="102">
        <f t="shared" si="8"/>
        <v>31031.685817830468</v>
      </c>
      <c r="F35" s="102">
        <f t="shared" si="8"/>
        <v>31031.685817830468</v>
      </c>
      <c r="G35" s="102">
        <f t="shared" si="8"/>
        <v>31031.685817830468</v>
      </c>
      <c r="H35" s="102">
        <f t="shared" si="8"/>
        <v>31031.685817830468</v>
      </c>
      <c r="I35" s="102">
        <f t="shared" si="8"/>
        <v>31031.685817830468</v>
      </c>
      <c r="J35" s="102">
        <f t="shared" si="8"/>
        <v>31031.685817830468</v>
      </c>
      <c r="K35" s="102">
        <f t="shared" si="8"/>
        <v>31031.685817830468</v>
      </c>
      <c r="L35" s="102">
        <f t="shared" si="8"/>
        <v>31031.685817830468</v>
      </c>
      <c r="M35" s="102">
        <f t="shared" si="8"/>
        <v>31031.685817830468</v>
      </c>
      <c r="N35" s="102">
        <f t="shared" si="8"/>
        <v>-47553.097842289077</v>
      </c>
    </row>
    <row r="36" spans="1:15" s="102" customFormat="1" x14ac:dyDescent="0.2">
      <c r="B36" s="157"/>
    </row>
    <row r="37" spans="1:15" s="102" customFormat="1" ht="13.5" thickBot="1" x14ac:dyDescent="0.25">
      <c r="A37" s="158" t="s">
        <v>923</v>
      </c>
      <c r="B37" s="815">
        <v>21619.56</v>
      </c>
      <c r="C37" s="158">
        <f>B37</f>
        <v>21619.56</v>
      </c>
      <c r="D37" s="158">
        <f t="shared" ref="D37:N37" si="9">C40</f>
        <v>52651.245817830466</v>
      </c>
      <c r="E37" s="158">
        <f t="shared" si="9"/>
        <v>83682.931635660934</v>
      </c>
      <c r="F37" s="158">
        <f t="shared" si="9"/>
        <v>114714.6174534914</v>
      </c>
      <c r="G37" s="158">
        <f t="shared" si="9"/>
        <v>145746.30327132187</v>
      </c>
      <c r="H37" s="158">
        <f t="shared" si="9"/>
        <v>176777.98908915234</v>
      </c>
      <c r="I37" s="158">
        <f t="shared" si="9"/>
        <v>207809.67490698281</v>
      </c>
      <c r="J37" s="158">
        <f t="shared" si="9"/>
        <v>238841.36072481328</v>
      </c>
      <c r="K37" s="158">
        <f t="shared" si="9"/>
        <v>269873.04654264374</v>
      </c>
      <c r="L37" s="158">
        <f t="shared" si="9"/>
        <v>300904.73236047418</v>
      </c>
      <c r="M37" s="158">
        <f t="shared" si="9"/>
        <v>331936.41817830468</v>
      </c>
      <c r="N37" s="158">
        <f t="shared" si="9"/>
        <v>362968.10399613518</v>
      </c>
      <c r="O37" s="158"/>
    </row>
    <row r="38" spans="1:15" s="102" customFormat="1" x14ac:dyDescent="0.2">
      <c r="A38" s="95"/>
      <c r="B38" s="162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</row>
    <row r="39" spans="1:15" s="149" customFormat="1" ht="12.75" x14ac:dyDescent="0.2">
      <c r="B39" s="150"/>
      <c r="C39" s="848" t="s">
        <v>65</v>
      </c>
      <c r="D39" s="848" t="s">
        <v>66</v>
      </c>
      <c r="E39" s="848" t="s">
        <v>67</v>
      </c>
      <c r="F39" s="848" t="s">
        <v>68</v>
      </c>
      <c r="G39" s="848" t="s">
        <v>69</v>
      </c>
      <c r="H39" s="848" t="s">
        <v>70</v>
      </c>
      <c r="I39" s="848" t="s">
        <v>71</v>
      </c>
      <c r="J39" s="848" t="s">
        <v>72</v>
      </c>
      <c r="K39" s="848" t="s">
        <v>73</v>
      </c>
      <c r="L39" s="848" t="s">
        <v>74</v>
      </c>
      <c r="M39" s="848" t="s">
        <v>63</v>
      </c>
      <c r="N39" s="848" t="s">
        <v>64</v>
      </c>
      <c r="O39" s="848" t="s">
        <v>65</v>
      </c>
    </row>
    <row r="40" spans="1:15" s="159" customFormat="1" x14ac:dyDescent="0.2">
      <c r="A40" s="99" t="s">
        <v>922</v>
      </c>
      <c r="B40" s="99">
        <f t="shared" ref="B40:N40" si="10">+B35+B37</f>
        <v>315415.0061538461</v>
      </c>
      <c r="C40" s="99">
        <f t="shared" si="10"/>
        <v>52651.245817830466</v>
      </c>
      <c r="D40" s="99">
        <f t="shared" si="10"/>
        <v>83682.931635660934</v>
      </c>
      <c r="E40" s="99">
        <f t="shared" si="10"/>
        <v>114714.6174534914</v>
      </c>
      <c r="F40" s="99">
        <f t="shared" si="10"/>
        <v>145746.30327132187</v>
      </c>
      <c r="G40" s="99">
        <f t="shared" si="10"/>
        <v>176777.98908915234</v>
      </c>
      <c r="H40" s="99">
        <f t="shared" si="10"/>
        <v>207809.67490698281</v>
      </c>
      <c r="I40" s="99">
        <f t="shared" si="10"/>
        <v>238841.36072481328</v>
      </c>
      <c r="J40" s="99">
        <f t="shared" si="10"/>
        <v>269873.04654264374</v>
      </c>
      <c r="K40" s="99">
        <f t="shared" si="10"/>
        <v>300904.73236047418</v>
      </c>
      <c r="L40" s="99">
        <f t="shared" si="10"/>
        <v>331936.41817830468</v>
      </c>
      <c r="M40" s="99">
        <f t="shared" si="10"/>
        <v>362968.10399613518</v>
      </c>
      <c r="N40" s="99">
        <f t="shared" si="10"/>
        <v>315415.0061538461</v>
      </c>
      <c r="O40" s="99"/>
    </row>
    <row r="41" spans="1:15" s="159" customFormat="1" x14ac:dyDescent="0.2">
      <c r="A41" s="99"/>
      <c r="B41" s="100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1:15" s="95" customFormat="1" x14ac:dyDescent="0.2">
      <c r="B42" s="101"/>
    </row>
    <row r="43" spans="1:15" s="102" customFormat="1" x14ac:dyDescent="0.2">
      <c r="B43" s="103"/>
      <c r="C43" s="95"/>
      <c r="D43" s="95"/>
    </row>
    <row r="44" spans="1:15" s="95" customFormat="1" x14ac:dyDescent="0.2">
      <c r="B44" s="96"/>
    </row>
    <row r="45" spans="1:15" s="95" customFormat="1" x14ac:dyDescent="0.2">
      <c r="B45" s="96"/>
    </row>
    <row r="46" spans="1:15" s="95" customFormat="1" x14ac:dyDescent="0.2">
      <c r="B46" s="96"/>
    </row>
    <row r="47" spans="1:15" s="95" customFormat="1" x14ac:dyDescent="0.2">
      <c r="B47" s="96"/>
    </row>
    <row r="48" spans="1:15" s="95" customFormat="1" x14ac:dyDescent="0.2"/>
    <row r="49" s="95" customFormat="1" x14ac:dyDescent="0.2"/>
  </sheetData>
  <printOptions horizontalCentered="1" verticalCentered="1"/>
  <pageMargins left="0.7" right="0.7" top="0.75" bottom="0.75" header="0.3" footer="0.3"/>
  <pageSetup scale="97" orientation="landscape" blackAndWhite="1" horizontalDpi="300" verticalDpi="300" r:id="rId1"/>
  <headerFooter>
    <oddHeader>&amp;L&amp;D
&amp;T&amp;C&amp;"Times New Roman,Italic"CAPP * Computer Aided Profit Plan
For Design Firm Financial Contorl
Profit Plan</oddHeader>
    <oddFooter>&amp;L&amp;A&amp;R&amp;P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F43"/>
  <sheetViews>
    <sheetView zoomScaleNormal="100" workbookViewId="0">
      <selection activeCell="E39" sqref="E39"/>
    </sheetView>
  </sheetViews>
  <sheetFormatPr defaultRowHeight="12.75" x14ac:dyDescent="0.2"/>
  <cols>
    <col min="1" max="1" width="26" style="2" customWidth="1"/>
    <col min="2" max="2" width="9.75" style="2" customWidth="1"/>
    <col min="3" max="3" width="8.625" style="2" customWidth="1"/>
    <col min="4" max="4" width="7.375" style="2" customWidth="1"/>
    <col min="5" max="5" width="9.875" style="2" customWidth="1"/>
    <col min="6" max="6" width="11.125" style="2" customWidth="1"/>
    <col min="7" max="16384" width="9" style="2"/>
  </cols>
  <sheetData>
    <row r="5" spans="1:6" ht="13.5" thickBot="1" x14ac:dyDescent="0.25">
      <c r="A5" s="163" t="s">
        <v>913</v>
      </c>
      <c r="B5" s="72"/>
      <c r="C5" s="72"/>
      <c r="D5" s="72"/>
      <c r="E5" s="72"/>
      <c r="F5" s="72"/>
    </row>
    <row r="6" spans="1:6" x14ac:dyDescent="0.2">
      <c r="A6" s="164" t="str">
        <f>+'Tab-20 ProfitTarget'!B5</f>
        <v>Increase in net worth</v>
      </c>
      <c r="B6" s="14"/>
      <c r="C6" s="14"/>
      <c r="D6" s="14"/>
      <c r="E6" s="165">
        <f>+Increase_in_net_worth</f>
        <v>188280</v>
      </c>
      <c r="F6" s="40"/>
    </row>
    <row r="7" spans="1:6" x14ac:dyDescent="0.2">
      <c r="A7" s="164" t="str">
        <f>+'Tab-20 ProfitTarget'!B6</f>
        <v>Dividend</v>
      </c>
      <c r="C7" s="14"/>
      <c r="D7" s="14"/>
      <c r="E7" s="165">
        <f>+'Tab-20 ProfitTarget'!C6</f>
        <v>0</v>
      </c>
      <c r="F7" s="40"/>
    </row>
    <row r="8" spans="1:6" x14ac:dyDescent="0.2">
      <c r="A8" s="166" t="s">
        <v>912</v>
      </c>
      <c r="E8" s="40"/>
      <c r="F8" s="40"/>
    </row>
    <row r="9" spans="1:6" x14ac:dyDescent="0.2">
      <c r="A9" s="167" t="s">
        <v>911</v>
      </c>
      <c r="D9" s="832">
        <v>0</v>
      </c>
      <c r="E9" s="40"/>
      <c r="F9" s="40"/>
    </row>
    <row r="10" spans="1:6" x14ac:dyDescent="0.2">
      <c r="A10" s="167" t="s">
        <v>910</v>
      </c>
      <c r="D10" s="832">
        <v>0</v>
      </c>
      <c r="E10" s="41">
        <f>D9+D10</f>
        <v>0</v>
      </c>
      <c r="F10" s="40"/>
    </row>
    <row r="11" spans="1:6" x14ac:dyDescent="0.2">
      <c r="A11" s="168" t="s">
        <v>906</v>
      </c>
      <c r="D11" s="826"/>
      <c r="E11" s="41">
        <f>+E6+E7-E10</f>
        <v>188280</v>
      </c>
      <c r="F11" s="40"/>
    </row>
    <row r="12" spans="1:6" x14ac:dyDescent="0.2">
      <c r="A12" s="164" t="s">
        <v>909</v>
      </c>
      <c r="B12" s="14"/>
      <c r="C12" s="823">
        <v>0.65</v>
      </c>
      <c r="D12" s="823">
        <v>1</v>
      </c>
      <c r="E12" s="169">
        <v>0.35</v>
      </c>
      <c r="F12" s="40"/>
    </row>
    <row r="13" spans="1:6" ht="13.5" thickBot="1" x14ac:dyDescent="0.25">
      <c r="A13" s="170" t="s">
        <v>908</v>
      </c>
      <c r="B13" s="171"/>
      <c r="C13" s="171"/>
      <c r="D13" s="171"/>
      <c r="E13" s="172"/>
      <c r="F13" s="173">
        <f>E11/C12-E11</f>
        <v>101381.53846153844</v>
      </c>
    </row>
    <row r="14" spans="1:6" ht="13.5" thickTop="1" x14ac:dyDescent="0.2">
      <c r="A14" s="174"/>
      <c r="B14" s="14"/>
      <c r="C14" s="14"/>
      <c r="D14" s="14"/>
      <c r="E14" s="165"/>
      <c r="F14" s="173"/>
    </row>
    <row r="15" spans="1:6" ht="13.5" thickBot="1" x14ac:dyDescent="0.25">
      <c r="A15" s="163" t="s">
        <v>907</v>
      </c>
      <c r="B15" s="72"/>
      <c r="C15" s="72"/>
      <c r="D15" s="72"/>
      <c r="E15" s="119"/>
      <c r="F15" s="165"/>
    </row>
    <row r="16" spans="1:6" x14ac:dyDescent="0.2">
      <c r="A16" s="167" t="s">
        <v>906</v>
      </c>
      <c r="D16" s="175"/>
      <c r="E16" s="41">
        <f>+E11</f>
        <v>188280</v>
      </c>
      <c r="F16" s="40"/>
    </row>
    <row r="17" spans="1:6" ht="13.5" thickBot="1" x14ac:dyDescent="0.25">
      <c r="A17" s="167" t="s">
        <v>905</v>
      </c>
      <c r="B17" s="72"/>
      <c r="E17" s="173">
        <f>E10</f>
        <v>0</v>
      </c>
      <c r="F17" s="40"/>
    </row>
    <row r="18" spans="1:6" x14ac:dyDescent="0.2">
      <c r="A18" s="176"/>
      <c r="C18" s="176"/>
      <c r="D18" s="176"/>
      <c r="E18" s="177"/>
      <c r="F18" s="40"/>
    </row>
    <row r="19" spans="1:6" x14ac:dyDescent="0.2">
      <c r="A19" s="167" t="s">
        <v>904</v>
      </c>
      <c r="E19" s="173">
        <f>E16+E17</f>
        <v>188280</v>
      </c>
      <c r="F19" s="40"/>
    </row>
    <row r="20" spans="1:6" ht="13.5" thickBot="1" x14ac:dyDescent="0.25">
      <c r="A20" s="178" t="s">
        <v>903</v>
      </c>
      <c r="B20" s="72"/>
      <c r="C20" s="72"/>
      <c r="D20" s="72"/>
      <c r="E20" s="42">
        <f>F13</f>
        <v>101381.53846153844</v>
      </c>
      <c r="F20" s="40"/>
    </row>
    <row r="21" spans="1:6" x14ac:dyDescent="0.2">
      <c r="A21" s="167" t="s">
        <v>902</v>
      </c>
      <c r="E21" s="179">
        <f>E19-E20</f>
        <v>86898.461538461561</v>
      </c>
      <c r="F21" s="40"/>
    </row>
    <row r="22" spans="1:6" x14ac:dyDescent="0.2">
      <c r="A22" s="167"/>
      <c r="C22" s="180" t="s">
        <v>901</v>
      </c>
      <c r="D22" s="181"/>
      <c r="E22" s="181"/>
    </row>
    <row r="23" spans="1:6" ht="13.5" thickBot="1" x14ac:dyDescent="0.25">
      <c r="A23" s="182" t="s">
        <v>900</v>
      </c>
      <c r="B23" s="182"/>
      <c r="C23" s="182" t="s">
        <v>899</v>
      </c>
      <c r="D23" s="182" t="s">
        <v>633</v>
      </c>
      <c r="E23" s="182" t="s">
        <v>898</v>
      </c>
    </row>
    <row r="24" spans="1:6" x14ac:dyDescent="0.2">
      <c r="A24" s="183" t="s">
        <v>897</v>
      </c>
      <c r="B24" s="814">
        <v>25000</v>
      </c>
      <c r="C24" s="828">
        <f>IF(E21&gt;B24,B24,E21)</f>
        <v>25000</v>
      </c>
      <c r="D24" s="855">
        <v>0.04</v>
      </c>
      <c r="E24" s="41">
        <f>D24*C24</f>
        <v>1000</v>
      </c>
      <c r="F24" s="40"/>
    </row>
    <row r="25" spans="1:6" x14ac:dyDescent="0.2">
      <c r="A25" s="183" t="s">
        <v>896</v>
      </c>
      <c r="B25" s="814">
        <v>25000</v>
      </c>
      <c r="C25" s="828">
        <f>IF(E21-C24&lt;B25,E21-C24,B25)</f>
        <v>25000</v>
      </c>
      <c r="D25" s="855">
        <v>0.05</v>
      </c>
      <c r="E25" s="41">
        <f>D25*C25</f>
        <v>1250</v>
      </c>
      <c r="F25" s="40"/>
    </row>
    <row r="26" spans="1:6" x14ac:dyDescent="0.2">
      <c r="A26" s="183" t="s">
        <v>896</v>
      </c>
      <c r="B26" s="814">
        <v>50000</v>
      </c>
      <c r="C26" s="828">
        <f>IF(E21-C24-C25&lt;B26,E21-C24-C25,B26)</f>
        <v>36898.461538461561</v>
      </c>
      <c r="D26" s="855">
        <v>0.06</v>
      </c>
      <c r="E26" s="41">
        <f>D26*C26</f>
        <v>2213.9076923076937</v>
      </c>
      <c r="F26" s="40"/>
    </row>
    <row r="27" spans="1:6" x14ac:dyDescent="0.2">
      <c r="A27" s="183" t="s">
        <v>896</v>
      </c>
      <c r="B27" s="814">
        <v>100000</v>
      </c>
      <c r="C27" s="828">
        <f>IF(E21-C24-C25-C26&lt;B27,E21-C24-C25-C26,B27)</f>
        <v>0</v>
      </c>
      <c r="D27" s="831">
        <v>7.0000000000000007E-2</v>
      </c>
      <c r="E27" s="41">
        <f>D27*C27</f>
        <v>0</v>
      </c>
      <c r="F27" s="40"/>
    </row>
    <row r="28" spans="1:6" ht="13.5" thickBot="1" x14ac:dyDescent="0.25">
      <c r="A28" s="185" t="s">
        <v>895</v>
      </c>
      <c r="B28" s="814">
        <f>SUM(B24:B27)</f>
        <v>200000</v>
      </c>
      <c r="C28" s="828">
        <f>IF(E21-B28&lt;0,0,E21-B28)</f>
        <v>0</v>
      </c>
      <c r="D28" s="831">
        <v>0.08</v>
      </c>
      <c r="E28" s="41">
        <f>D28*C28</f>
        <v>0</v>
      </c>
      <c r="F28" s="40"/>
    </row>
    <row r="29" spans="1:6" x14ac:dyDescent="0.2">
      <c r="B29" s="177"/>
      <c r="C29" s="177"/>
      <c r="D29" s="176"/>
      <c r="E29" s="177"/>
      <c r="F29" s="40"/>
    </row>
    <row r="30" spans="1:6" ht="13.5" thickBot="1" x14ac:dyDescent="0.25">
      <c r="A30" s="168" t="s">
        <v>894</v>
      </c>
      <c r="B30" s="172"/>
      <c r="C30" s="41">
        <f>SUM(C24:C29)</f>
        <v>86898.461538461561</v>
      </c>
      <c r="E30" s="40">
        <f>SUM(E24:E29)</f>
        <v>4463.9076923076937</v>
      </c>
      <c r="F30" s="173">
        <f>E30</f>
        <v>4463.9076923076937</v>
      </c>
    </row>
    <row r="31" spans="1:6" ht="13.5" thickTop="1" x14ac:dyDescent="0.2">
      <c r="A31" s="24"/>
      <c r="C31" s="24"/>
      <c r="D31" s="24"/>
      <c r="E31" s="43"/>
      <c r="F31" s="177"/>
    </row>
    <row r="32" spans="1:6" ht="13.5" thickBot="1" x14ac:dyDescent="0.25">
      <c r="A32" s="186" t="s">
        <v>893</v>
      </c>
      <c r="B32" s="171"/>
      <c r="C32" s="171"/>
      <c r="D32" s="171"/>
      <c r="E32" s="172"/>
      <c r="F32" s="187">
        <f>F30+F13</f>
        <v>105845.44615384613</v>
      </c>
    </row>
    <row r="33" spans="1:6" ht="13.5" thickTop="1" x14ac:dyDescent="0.2">
      <c r="A33" s="188"/>
      <c r="B33" s="14"/>
      <c r="C33" s="14"/>
      <c r="D33" s="14"/>
      <c r="E33" s="14"/>
      <c r="F33" s="189"/>
    </row>
    <row r="34" spans="1:6" x14ac:dyDescent="0.2">
      <c r="A34" s="14"/>
      <c r="B34" s="14"/>
      <c r="C34" s="190"/>
      <c r="D34" s="190"/>
      <c r="E34" s="14"/>
      <c r="F34" s="14"/>
    </row>
    <row r="35" spans="1:6" x14ac:dyDescent="0.2">
      <c r="A35" s="14"/>
      <c r="B35" s="14"/>
      <c r="C35" s="190"/>
      <c r="D35" s="190"/>
      <c r="E35" s="14"/>
      <c r="F35" s="14"/>
    </row>
    <row r="36" spans="1:6" x14ac:dyDescent="0.2">
      <c r="A36" s="14"/>
      <c r="B36" s="14"/>
      <c r="C36" s="190"/>
      <c r="D36" s="190"/>
      <c r="E36" s="14"/>
      <c r="F36" s="14"/>
    </row>
    <row r="37" spans="1:6" x14ac:dyDescent="0.2">
      <c r="A37" s="14"/>
      <c r="B37" s="14"/>
      <c r="C37" s="190"/>
      <c r="D37" s="190"/>
      <c r="E37" s="14"/>
      <c r="F37" s="14"/>
    </row>
    <row r="38" spans="1:6" x14ac:dyDescent="0.2">
      <c r="A38" s="14"/>
      <c r="B38" s="14"/>
      <c r="C38" s="190"/>
      <c r="D38" s="190"/>
      <c r="E38" s="191"/>
      <c r="F38" s="14"/>
    </row>
    <row r="39" spans="1:6" x14ac:dyDescent="0.2">
      <c r="A39" s="14"/>
      <c r="B39" s="14"/>
      <c r="C39" s="190"/>
      <c r="D39" s="190"/>
      <c r="E39" s="14"/>
      <c r="F39" s="14"/>
    </row>
    <row r="40" spans="1:6" x14ac:dyDescent="0.2">
      <c r="A40" s="14"/>
      <c r="B40" s="14"/>
      <c r="C40" s="14"/>
      <c r="D40" s="14"/>
      <c r="E40" s="191"/>
      <c r="F40" s="14"/>
    </row>
    <row r="41" spans="1:6" x14ac:dyDescent="0.2">
      <c r="A41" s="14"/>
      <c r="B41" s="14"/>
      <c r="C41" s="14"/>
      <c r="D41" s="14"/>
      <c r="E41" s="14"/>
      <c r="F41" s="14"/>
    </row>
    <row r="42" spans="1:6" x14ac:dyDescent="0.2">
      <c r="A42" s="192"/>
      <c r="B42" s="192"/>
      <c r="C42" s="14"/>
      <c r="D42" s="14"/>
      <c r="E42" s="14"/>
      <c r="F42" s="192"/>
    </row>
    <row r="43" spans="1:6" x14ac:dyDescent="0.2">
      <c r="A43" s="14"/>
      <c r="B43" s="14"/>
      <c r="C43" s="14"/>
      <c r="D43" s="14"/>
      <c r="E43" s="14"/>
      <c r="F43" s="14"/>
    </row>
  </sheetData>
  <printOptions horizontalCentered="1" verticalCentered="1" headings="1"/>
  <pageMargins left="0.7" right="0.7" top="0.75" bottom="0.75" header="0.3" footer="0.3"/>
  <pageSetup orientation="portrait" blackAndWhite="1" horizontalDpi="300" verticalDpi="300" r:id="rId1"/>
  <headerFooter>
    <oddHeader>&amp;L&amp;D
&amp;T&amp;C&amp;"Times New Roman,Italic"CAPP * Computer Aided Profit Plan
For Design Firm Financial Contorl
Profit Plan</oddHeader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V151"/>
  <sheetViews>
    <sheetView zoomScaleNormal="100" workbookViewId="0">
      <selection activeCell="O5" sqref="O5"/>
    </sheetView>
  </sheetViews>
  <sheetFormatPr defaultColWidth="8" defaultRowHeight="11.25" x14ac:dyDescent="0.2"/>
  <cols>
    <col min="1" max="1" width="3.625" style="582" customWidth="1"/>
    <col min="2" max="2" width="11" style="562" customWidth="1"/>
    <col min="3" max="3" width="8.625" style="562" customWidth="1"/>
    <col min="4" max="4" width="9.25" style="562" customWidth="1"/>
    <col min="5" max="5" width="9.125" style="562" bestFit="1" customWidth="1"/>
    <col min="6" max="6" width="8.75" style="562" customWidth="1"/>
    <col min="7" max="7" width="9.125" style="562" bestFit="1" customWidth="1"/>
    <col min="8" max="8" width="8.75" style="562" customWidth="1"/>
    <col min="9" max="9" width="8.875" style="562" customWidth="1"/>
    <col min="10" max="10" width="10.75" style="562" bestFit="1" customWidth="1"/>
    <col min="11" max="11" width="11.375" style="562" bestFit="1" customWidth="1"/>
    <col min="12" max="12" width="10.75" style="562" bestFit="1" customWidth="1"/>
    <col min="13" max="13" width="12.25" style="562" bestFit="1" customWidth="1"/>
    <col min="14" max="14" width="11.5" style="562" bestFit="1" customWidth="1"/>
    <col min="15" max="15" width="11.625" style="697" customWidth="1"/>
    <col min="16" max="16" width="9.375" style="562" bestFit="1" customWidth="1"/>
    <col min="17" max="17" width="12" style="562" customWidth="1"/>
    <col min="18" max="18" width="8.375" style="562" bestFit="1" customWidth="1"/>
    <col min="19" max="16384" width="8" style="562"/>
  </cols>
  <sheetData>
    <row r="1" spans="1:18" x14ac:dyDescent="0.2">
      <c r="A1" s="561"/>
      <c r="B1" s="561"/>
    </row>
    <row r="2" spans="1:18" s="700" customFormat="1" x14ac:dyDescent="0.2">
      <c r="A2" s="698"/>
      <c r="B2" s="699"/>
    </row>
    <row r="3" spans="1:18" x14ac:dyDescent="0.2">
      <c r="A3" s="566"/>
      <c r="B3" s="567"/>
      <c r="C3" s="701" t="s">
        <v>0</v>
      </c>
      <c r="D3" s="701" t="s">
        <v>0</v>
      </c>
      <c r="E3" s="701" t="s">
        <v>0</v>
      </c>
      <c r="F3" s="701" t="s">
        <v>0</v>
      </c>
      <c r="G3" s="701" t="s">
        <v>0</v>
      </c>
      <c r="H3" s="701" t="s">
        <v>0</v>
      </c>
      <c r="I3" s="701" t="s">
        <v>0</v>
      </c>
      <c r="J3" s="701" t="s">
        <v>0</v>
      </c>
      <c r="K3" s="701" t="s">
        <v>0</v>
      </c>
      <c r="L3" s="701" t="s">
        <v>0</v>
      </c>
      <c r="M3" s="701" t="s">
        <v>0</v>
      </c>
      <c r="N3" s="701" t="s">
        <v>0</v>
      </c>
      <c r="O3" s="702" t="s">
        <v>58</v>
      </c>
      <c r="P3" s="703" t="s">
        <v>59</v>
      </c>
      <c r="Q3" s="700"/>
      <c r="R3" s="700"/>
    </row>
    <row r="4" spans="1:18" s="700" customFormat="1" x14ac:dyDescent="0.2">
      <c r="A4" s="631"/>
      <c r="B4" s="570"/>
      <c r="C4" s="702" t="s">
        <v>1</v>
      </c>
      <c r="D4" s="702" t="s">
        <v>1</v>
      </c>
      <c r="E4" s="702" t="s">
        <v>1</v>
      </c>
      <c r="F4" s="702" t="s">
        <v>1</v>
      </c>
      <c r="G4" s="702" t="s">
        <v>1</v>
      </c>
      <c r="H4" s="702" t="s">
        <v>1</v>
      </c>
      <c r="I4" s="702" t="s">
        <v>1</v>
      </c>
      <c r="J4" s="702" t="s">
        <v>1</v>
      </c>
      <c r="K4" s="702" t="s">
        <v>1</v>
      </c>
      <c r="L4" s="702" t="s">
        <v>1</v>
      </c>
      <c r="M4" s="702" t="s">
        <v>1</v>
      </c>
      <c r="N4" s="701" t="s">
        <v>1</v>
      </c>
      <c r="O4" s="701" t="s">
        <v>1</v>
      </c>
      <c r="P4" s="703" t="s">
        <v>60</v>
      </c>
      <c r="Q4" s="701"/>
    </row>
    <row r="5" spans="1:18" s="570" customFormat="1" x14ac:dyDescent="0.2">
      <c r="A5" s="631"/>
      <c r="C5" s="704">
        <v>1</v>
      </c>
      <c r="D5" s="704">
        <v>2</v>
      </c>
      <c r="E5" s="704">
        <v>3</v>
      </c>
      <c r="F5" s="704">
        <v>4</v>
      </c>
      <c r="G5" s="704">
        <v>5</v>
      </c>
      <c r="H5" s="704">
        <v>6</v>
      </c>
      <c r="I5" s="704">
        <v>7</v>
      </c>
      <c r="J5" s="704">
        <v>8</v>
      </c>
      <c r="K5" s="704">
        <v>9</v>
      </c>
      <c r="L5" s="704">
        <v>10</v>
      </c>
      <c r="M5" s="704">
        <v>11</v>
      </c>
      <c r="N5" s="704">
        <v>12</v>
      </c>
      <c r="O5" s="705">
        <v>6</v>
      </c>
      <c r="P5" s="703" t="s">
        <v>0</v>
      </c>
      <c r="Q5" s="701"/>
      <c r="R5" s="700" t="s">
        <v>62</v>
      </c>
    </row>
    <row r="6" spans="1:18" s="570" customFormat="1" x14ac:dyDescent="0.2">
      <c r="A6" s="631"/>
      <c r="C6" s="570" t="s">
        <v>65</v>
      </c>
      <c r="D6" s="570" t="s">
        <v>66</v>
      </c>
      <c r="E6" s="570" t="s">
        <v>67</v>
      </c>
      <c r="F6" s="570" t="s">
        <v>68</v>
      </c>
      <c r="G6" s="570" t="s">
        <v>69</v>
      </c>
      <c r="H6" s="570" t="s">
        <v>70</v>
      </c>
      <c r="I6" s="570" t="s">
        <v>71</v>
      </c>
      <c r="J6" s="570" t="s">
        <v>72</v>
      </c>
      <c r="K6" s="570" t="s">
        <v>1001</v>
      </c>
      <c r="L6" s="570" t="s">
        <v>74</v>
      </c>
      <c r="M6" s="570" t="s">
        <v>63</v>
      </c>
      <c r="N6" s="570" t="s">
        <v>64</v>
      </c>
      <c r="O6" s="706">
        <v>41090</v>
      </c>
      <c r="P6" s="706">
        <v>40724</v>
      </c>
      <c r="Q6" s="707" t="s">
        <v>942</v>
      </c>
      <c r="R6" s="570" t="s">
        <v>56</v>
      </c>
    </row>
    <row r="7" spans="1:18" s="577" customFormat="1" x14ac:dyDescent="0.2">
      <c r="A7" s="573"/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  <c r="O7" s="680"/>
      <c r="P7" s="583"/>
      <c r="Q7" s="680"/>
    </row>
    <row r="8" spans="1:18" ht="12" thickBot="1" x14ac:dyDescent="0.25">
      <c r="A8" s="584"/>
      <c r="B8" s="585" t="s">
        <v>75</v>
      </c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</row>
    <row r="9" spans="1:18" x14ac:dyDescent="0.2">
      <c r="A9" s="587"/>
      <c r="B9" s="588" t="s">
        <v>76</v>
      </c>
      <c r="C9" s="589">
        <v>1958</v>
      </c>
      <c r="D9" s="589">
        <v>1510</v>
      </c>
      <c r="E9" s="589">
        <v>2085</v>
      </c>
      <c r="F9" s="589">
        <v>1916</v>
      </c>
      <c r="G9" s="589">
        <v>2123</v>
      </c>
      <c r="H9" s="589">
        <v>1757</v>
      </c>
      <c r="I9" s="589"/>
      <c r="J9" s="589"/>
      <c r="K9" s="589"/>
      <c r="L9" s="589"/>
      <c r="M9" s="589"/>
      <c r="N9" s="589"/>
      <c r="O9" s="607">
        <f t="shared" ref="O9:O15" si="0">SUM(C9:N9)</f>
        <v>11349</v>
      </c>
      <c r="P9" s="589">
        <v>10444</v>
      </c>
      <c r="Q9" s="708">
        <f>+[0]!Tech_direct_hrs_total</f>
        <v>22568</v>
      </c>
      <c r="R9" s="709">
        <f t="shared" ref="R9:R15" si="1">+Q9/12</f>
        <v>1880.6666666666667</v>
      </c>
    </row>
    <row r="10" spans="1:18" x14ac:dyDescent="0.2">
      <c r="A10" s="587"/>
      <c r="B10" s="588" t="s">
        <v>77</v>
      </c>
      <c r="C10" s="710">
        <f t="shared" ref="C10:N10" si="2">+C12-C9-C11</f>
        <v>558</v>
      </c>
      <c r="D10" s="710">
        <f t="shared" si="2"/>
        <v>708</v>
      </c>
      <c r="E10" s="710">
        <f t="shared" si="2"/>
        <v>632</v>
      </c>
      <c r="F10" s="710">
        <f t="shared" si="2"/>
        <v>670</v>
      </c>
      <c r="G10" s="710">
        <f t="shared" si="2"/>
        <v>578</v>
      </c>
      <c r="H10" s="710">
        <f t="shared" si="2"/>
        <v>793</v>
      </c>
      <c r="I10" s="710">
        <f t="shared" si="2"/>
        <v>0</v>
      </c>
      <c r="J10" s="710">
        <f t="shared" si="2"/>
        <v>0</v>
      </c>
      <c r="K10" s="710">
        <f t="shared" si="2"/>
        <v>0</v>
      </c>
      <c r="L10" s="710">
        <f t="shared" si="2"/>
        <v>0</v>
      </c>
      <c r="M10" s="710">
        <f t="shared" si="2"/>
        <v>0</v>
      </c>
      <c r="N10" s="710">
        <f t="shared" si="2"/>
        <v>0</v>
      </c>
      <c r="O10" s="709">
        <f t="shared" si="0"/>
        <v>3939</v>
      </c>
      <c r="P10" s="590">
        <f>+P12-P9-P11</f>
        <v>4659</v>
      </c>
      <c r="Q10" s="708">
        <f>+'Tab-24 TimeAnalysis'!$D$7</f>
        <v>5208</v>
      </c>
      <c r="R10" s="709">
        <f t="shared" si="1"/>
        <v>434</v>
      </c>
    </row>
    <row r="11" spans="1:18" ht="12" thickBot="1" x14ac:dyDescent="0.25">
      <c r="A11" s="591"/>
      <c r="B11" s="592" t="s">
        <v>78</v>
      </c>
      <c r="C11" s="593">
        <v>244</v>
      </c>
      <c r="D11" s="593">
        <v>406</v>
      </c>
      <c r="E11" s="593">
        <v>51</v>
      </c>
      <c r="F11" s="593">
        <v>22</v>
      </c>
      <c r="G11" s="593">
        <v>-67</v>
      </c>
      <c r="H11" s="593">
        <v>58</v>
      </c>
      <c r="I11" s="593"/>
      <c r="J11" s="593"/>
      <c r="K11" s="593"/>
      <c r="L11" s="593"/>
      <c r="M11" s="593"/>
      <c r="N11" s="593"/>
      <c r="O11" s="595">
        <f t="shared" si="0"/>
        <v>714</v>
      </c>
      <c r="P11" s="593">
        <v>877</v>
      </c>
      <c r="Q11" s="711">
        <f>+'Tab-24 TimeAnalysis'!$D$8</f>
        <v>2592</v>
      </c>
      <c r="R11" s="712">
        <f t="shared" si="1"/>
        <v>216</v>
      </c>
    </row>
    <row r="12" spans="1:18" ht="12" thickBot="1" x14ac:dyDescent="0.25">
      <c r="A12" s="591"/>
      <c r="B12" s="592" t="s">
        <v>17</v>
      </c>
      <c r="C12" s="757">
        <v>2760</v>
      </c>
      <c r="D12" s="757">
        <v>2624</v>
      </c>
      <c r="E12" s="757">
        <v>2768</v>
      </c>
      <c r="F12" s="757">
        <v>2608</v>
      </c>
      <c r="G12" s="757">
        <v>2634</v>
      </c>
      <c r="H12" s="757">
        <v>2608</v>
      </c>
      <c r="I12" s="757"/>
      <c r="J12" s="757"/>
      <c r="K12" s="757"/>
      <c r="L12" s="757"/>
      <c r="M12" s="757"/>
      <c r="N12" s="757"/>
      <c r="O12" s="595">
        <f t="shared" si="0"/>
        <v>16002</v>
      </c>
      <c r="P12" s="759">
        <v>15980</v>
      </c>
      <c r="Q12" s="712">
        <f>+'Tab-24 TimeAnalysis'!$D$9</f>
        <v>30368</v>
      </c>
      <c r="R12" s="712">
        <f t="shared" si="1"/>
        <v>2530.6666666666665</v>
      </c>
    </row>
    <row r="13" spans="1:18" x14ac:dyDescent="0.2">
      <c r="A13" s="587"/>
      <c r="B13" s="588" t="s">
        <v>79</v>
      </c>
      <c r="C13" s="710">
        <f t="shared" ref="C13:N13" si="3">+C15-C14</f>
        <v>628</v>
      </c>
      <c r="D13" s="710">
        <f t="shared" si="3"/>
        <v>549</v>
      </c>
      <c r="E13" s="710">
        <f t="shared" si="3"/>
        <v>651</v>
      </c>
      <c r="F13" s="710">
        <f t="shared" si="3"/>
        <v>641</v>
      </c>
      <c r="G13" s="710">
        <f t="shared" si="3"/>
        <v>607</v>
      </c>
      <c r="H13" s="710">
        <f t="shared" si="3"/>
        <v>628</v>
      </c>
      <c r="I13" s="710">
        <f t="shared" si="3"/>
        <v>0</v>
      </c>
      <c r="J13" s="710">
        <f t="shared" si="3"/>
        <v>0</v>
      </c>
      <c r="K13" s="710">
        <f t="shared" si="3"/>
        <v>0</v>
      </c>
      <c r="L13" s="710">
        <f t="shared" si="3"/>
        <v>0</v>
      </c>
      <c r="M13" s="710">
        <f t="shared" si="3"/>
        <v>0</v>
      </c>
      <c r="N13" s="710">
        <f t="shared" si="3"/>
        <v>0</v>
      </c>
      <c r="O13" s="709">
        <f t="shared" si="0"/>
        <v>3704</v>
      </c>
      <c r="P13" s="590">
        <f>+P15-P14</f>
        <v>3744</v>
      </c>
      <c r="Q13" s="708">
        <f>+'Tab-24 TimeAnalysis'!$D$10</f>
        <v>8112</v>
      </c>
      <c r="R13" s="709">
        <f t="shared" si="1"/>
        <v>676</v>
      </c>
    </row>
    <row r="14" spans="1:18" ht="12" thickBot="1" x14ac:dyDescent="0.25">
      <c r="A14" s="591"/>
      <c r="B14" s="592" t="s">
        <v>80</v>
      </c>
      <c r="C14" s="593">
        <v>60</v>
      </c>
      <c r="D14" s="593">
        <v>115</v>
      </c>
      <c r="E14" s="593">
        <v>37</v>
      </c>
      <c r="F14" s="593">
        <v>15</v>
      </c>
      <c r="G14" s="593">
        <v>57</v>
      </c>
      <c r="H14" s="593">
        <v>28</v>
      </c>
      <c r="I14" s="593"/>
      <c r="J14" s="593"/>
      <c r="K14" s="593"/>
      <c r="L14" s="593"/>
      <c r="M14" s="593"/>
      <c r="N14" s="593"/>
      <c r="O14" s="595">
        <f t="shared" si="0"/>
        <v>312</v>
      </c>
      <c r="P14" s="593">
        <v>272</v>
      </c>
      <c r="Q14" s="714">
        <f>+'Tab-24 TimeAnalysis'!$D$11</f>
        <v>576</v>
      </c>
      <c r="R14" s="712">
        <f t="shared" si="1"/>
        <v>48</v>
      </c>
    </row>
    <row r="15" spans="1:18" ht="12" thickBot="1" x14ac:dyDescent="0.25">
      <c r="A15" s="591"/>
      <c r="B15" s="592" t="s">
        <v>18</v>
      </c>
      <c r="C15" s="757">
        <v>688</v>
      </c>
      <c r="D15" s="757">
        <v>664</v>
      </c>
      <c r="E15" s="757">
        <v>688</v>
      </c>
      <c r="F15" s="757">
        <v>656</v>
      </c>
      <c r="G15" s="757">
        <v>664</v>
      </c>
      <c r="H15" s="757">
        <v>656</v>
      </c>
      <c r="I15" s="757"/>
      <c r="J15" s="757"/>
      <c r="K15" s="757"/>
      <c r="L15" s="757"/>
      <c r="M15" s="757"/>
      <c r="N15" s="757"/>
      <c r="O15" s="595">
        <f t="shared" si="0"/>
        <v>4016</v>
      </c>
      <c r="P15" s="598">
        <v>4016</v>
      </c>
      <c r="Q15" s="712">
        <f>+'Tab-24 TimeAnalysis'!$D$12</f>
        <v>8688</v>
      </c>
      <c r="R15" s="712">
        <f t="shared" si="1"/>
        <v>724</v>
      </c>
    </row>
    <row r="16" spans="1:18" s="600" customFormat="1" x14ac:dyDescent="0.2">
      <c r="A16" s="599"/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1"/>
      <c r="Q16" s="715"/>
      <c r="R16" s="601"/>
    </row>
    <row r="17" spans="1:20" ht="12" thickBot="1" x14ac:dyDescent="0.25">
      <c r="A17" s="602"/>
      <c r="B17" s="603" t="s">
        <v>81</v>
      </c>
      <c r="C17" s="604">
        <v>3448</v>
      </c>
      <c r="D17" s="604">
        <v>3288</v>
      </c>
      <c r="E17" s="604">
        <v>3456</v>
      </c>
      <c r="F17" s="604">
        <v>3264</v>
      </c>
      <c r="G17" s="604">
        <v>3298</v>
      </c>
      <c r="H17" s="604">
        <v>3264</v>
      </c>
      <c r="I17" s="604">
        <f t="shared" ref="I17:N17" si="4">+I12+I15</f>
        <v>0</v>
      </c>
      <c r="J17" s="604">
        <f t="shared" si="4"/>
        <v>0</v>
      </c>
      <c r="K17" s="604">
        <f t="shared" si="4"/>
        <v>0</v>
      </c>
      <c r="L17" s="604">
        <f t="shared" si="4"/>
        <v>0</v>
      </c>
      <c r="M17" s="604">
        <f t="shared" si="4"/>
        <v>0</v>
      </c>
      <c r="N17" s="604">
        <f t="shared" si="4"/>
        <v>0</v>
      </c>
      <c r="O17" s="605">
        <f>SUM(C17:N17)</f>
        <v>20018</v>
      </c>
      <c r="P17" s="604">
        <v>19996</v>
      </c>
      <c r="Q17" s="716">
        <f>+'Tab-24 TimeAnalysis'!$D$13</f>
        <v>39056</v>
      </c>
      <c r="R17" s="716">
        <f>+Q17/12</f>
        <v>3254.6666666666665</v>
      </c>
    </row>
    <row r="18" spans="1:20" ht="12" thickTop="1" x14ac:dyDescent="0.2">
      <c r="A18" s="606"/>
      <c r="B18" s="597"/>
      <c r="C18" s="607"/>
      <c r="D18" s="607"/>
      <c r="E18" s="607"/>
      <c r="F18" s="607"/>
      <c r="G18" s="607"/>
      <c r="H18" s="607"/>
      <c r="I18" s="607"/>
      <c r="J18" s="607"/>
      <c r="K18" s="607"/>
      <c r="L18" s="607"/>
      <c r="M18" s="607"/>
      <c r="N18" s="607"/>
      <c r="O18" s="607"/>
      <c r="P18" s="607"/>
      <c r="Q18" s="568"/>
      <c r="R18" s="607"/>
    </row>
    <row r="19" spans="1:20" ht="12" thickBot="1" x14ac:dyDescent="0.25">
      <c r="A19" s="608"/>
      <c r="B19" s="609" t="s">
        <v>82</v>
      </c>
      <c r="C19" s="610">
        <v>176</v>
      </c>
      <c r="D19" s="610">
        <v>176</v>
      </c>
      <c r="E19" s="610">
        <v>176</v>
      </c>
      <c r="F19" s="610">
        <v>168</v>
      </c>
      <c r="G19" s="610">
        <v>176</v>
      </c>
      <c r="H19" s="610">
        <v>168</v>
      </c>
      <c r="I19" s="610"/>
      <c r="J19" s="610"/>
      <c r="K19" s="610"/>
      <c r="L19" s="610"/>
      <c r="M19" s="610"/>
      <c r="N19" s="610"/>
      <c r="O19" s="605">
        <f>SUM(C19:N19)</f>
        <v>1040</v>
      </c>
      <c r="P19" s="610">
        <v>1040</v>
      </c>
      <c r="Q19" s="717">
        <f>+'Tab-24 TimeAnalysis'!$D$17</f>
        <v>2096</v>
      </c>
      <c r="R19" s="716">
        <f>+Q19/12</f>
        <v>174.66666666666666</v>
      </c>
    </row>
    <row r="20" spans="1:20" ht="12.75" thickTop="1" thickBot="1" x14ac:dyDescent="0.25">
      <c r="A20" s="718"/>
      <c r="B20" s="719" t="s">
        <v>981</v>
      </c>
      <c r="C20" s="760">
        <v>3424</v>
      </c>
      <c r="D20" s="760">
        <v>3248</v>
      </c>
      <c r="E20" s="760">
        <v>3424</v>
      </c>
      <c r="F20" s="760">
        <v>3240</v>
      </c>
      <c r="G20" s="760">
        <v>3248</v>
      </c>
      <c r="H20" s="760">
        <v>3240</v>
      </c>
      <c r="I20" s="760"/>
      <c r="J20" s="760"/>
      <c r="K20" s="760"/>
      <c r="L20" s="760"/>
      <c r="M20" s="760"/>
      <c r="N20" s="760"/>
      <c r="O20" s="761">
        <f>SUM(C20:N20)</f>
        <v>19824</v>
      </c>
      <c r="P20" s="760">
        <v>19824</v>
      </c>
      <c r="Q20" s="612"/>
      <c r="R20" s="612"/>
    </row>
    <row r="21" spans="1:20" ht="12" thickTop="1" x14ac:dyDescent="0.2">
      <c r="A21" s="573"/>
      <c r="B21" s="613"/>
      <c r="C21" s="612"/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2"/>
      <c r="O21" s="612"/>
      <c r="P21" s="612"/>
      <c r="Q21" s="612"/>
      <c r="R21" s="612"/>
      <c r="T21" s="720"/>
    </row>
    <row r="22" spans="1:20" ht="12" thickBot="1" x14ac:dyDescent="0.25">
      <c r="A22" s="614"/>
      <c r="B22" s="585" t="s">
        <v>10</v>
      </c>
      <c r="C22" s="615"/>
      <c r="D22" s="615"/>
      <c r="E22" s="615"/>
      <c r="F22" s="615"/>
      <c r="G22" s="615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</row>
    <row r="23" spans="1:20" x14ac:dyDescent="0.2">
      <c r="A23" s="616"/>
      <c r="B23" s="617" t="s">
        <v>83</v>
      </c>
      <c r="C23" s="721">
        <f>+C25-C24</f>
        <v>24</v>
      </c>
      <c r="D23" s="721">
        <f>+D25-D24</f>
        <v>40</v>
      </c>
      <c r="E23" s="721">
        <f t="shared" ref="E23:F23" si="5">+E25-E24</f>
        <v>32</v>
      </c>
      <c r="F23" s="721">
        <f t="shared" si="5"/>
        <v>24</v>
      </c>
      <c r="G23" s="721">
        <f t="shared" ref="G23" si="6">+G25-G24</f>
        <v>50</v>
      </c>
      <c r="H23" s="721">
        <f t="shared" ref="H23" si="7">+H25-H24</f>
        <v>24</v>
      </c>
      <c r="I23" s="721">
        <f t="shared" ref="I23" si="8">+I25-I24</f>
        <v>0</v>
      </c>
      <c r="J23" s="721">
        <f t="shared" ref="J23" si="9">+J25-J24</f>
        <v>0</v>
      </c>
      <c r="K23" s="721">
        <f t="shared" ref="K23" si="10">+K25-K24</f>
        <v>0</v>
      </c>
      <c r="L23" s="721">
        <f t="shared" ref="L23" si="11">+L25-L24</f>
        <v>0</v>
      </c>
      <c r="M23" s="721">
        <f t="shared" ref="M23" si="12">+M25-M24</f>
        <v>0</v>
      </c>
      <c r="N23" s="721">
        <f t="shared" ref="N23" si="13">+N25-N24</f>
        <v>0</v>
      </c>
      <c r="O23" s="722">
        <f>SUM(C23:N23)</f>
        <v>194</v>
      </c>
      <c r="P23" s="619">
        <f>+P17-P20</f>
        <v>172</v>
      </c>
      <c r="Q23" s="619">
        <v>0</v>
      </c>
      <c r="R23" s="619">
        <v>0</v>
      </c>
    </row>
    <row r="24" spans="1:20" ht="12" thickBot="1" x14ac:dyDescent="0.25">
      <c r="A24" s="614"/>
      <c r="B24" s="620" t="s">
        <v>84</v>
      </c>
      <c r="C24" s="762">
        <v>0</v>
      </c>
      <c r="D24" s="762">
        <v>0</v>
      </c>
      <c r="E24" s="762">
        <v>0</v>
      </c>
      <c r="F24" s="762">
        <v>0</v>
      </c>
      <c r="G24" s="762">
        <v>0</v>
      </c>
      <c r="H24" s="762">
        <v>0</v>
      </c>
      <c r="I24" s="762"/>
      <c r="J24" s="762"/>
      <c r="K24" s="762"/>
      <c r="L24" s="762"/>
      <c r="M24" s="762"/>
      <c r="N24" s="762"/>
      <c r="O24" s="723">
        <f>SUM(C24:N24)</f>
        <v>0</v>
      </c>
      <c r="P24" s="762">
        <v>0</v>
      </c>
      <c r="Q24" s="622">
        <v>0</v>
      </c>
      <c r="R24" s="622">
        <v>0</v>
      </c>
    </row>
    <row r="25" spans="1:20" ht="12" thickBot="1" x14ac:dyDescent="0.25">
      <c r="A25" s="623"/>
      <c r="B25" s="624" t="s">
        <v>12</v>
      </c>
      <c r="C25" s="724">
        <f>+C17-C20</f>
        <v>24</v>
      </c>
      <c r="D25" s="724">
        <f t="shared" ref="D25:N25" si="14">+D17-D20</f>
        <v>40</v>
      </c>
      <c r="E25" s="724">
        <f t="shared" si="14"/>
        <v>32</v>
      </c>
      <c r="F25" s="724">
        <f t="shared" si="14"/>
        <v>24</v>
      </c>
      <c r="G25" s="724">
        <f t="shared" si="14"/>
        <v>50</v>
      </c>
      <c r="H25" s="724">
        <f t="shared" si="14"/>
        <v>24</v>
      </c>
      <c r="I25" s="724">
        <f t="shared" si="14"/>
        <v>0</v>
      </c>
      <c r="J25" s="724">
        <f t="shared" si="14"/>
        <v>0</v>
      </c>
      <c r="K25" s="724">
        <f t="shared" si="14"/>
        <v>0</v>
      </c>
      <c r="L25" s="724">
        <f t="shared" si="14"/>
        <v>0</v>
      </c>
      <c r="M25" s="724">
        <f t="shared" si="14"/>
        <v>0</v>
      </c>
      <c r="N25" s="724">
        <f t="shared" si="14"/>
        <v>0</v>
      </c>
      <c r="O25" s="724">
        <f>SUM(C25:N25)</f>
        <v>194</v>
      </c>
      <c r="P25" s="724">
        <f>+P17-P20</f>
        <v>172</v>
      </c>
      <c r="Q25" s="724">
        <f>+Q23+Q24</f>
        <v>0</v>
      </c>
      <c r="R25" s="724">
        <f>+R23+R24</f>
        <v>0</v>
      </c>
    </row>
    <row r="26" spans="1:20" ht="12" thickTop="1" x14ac:dyDescent="0.2">
      <c r="A26" s="626"/>
      <c r="B26" s="597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725"/>
      <c r="R26" s="726"/>
    </row>
    <row r="27" spans="1:20" x14ac:dyDescent="0.2">
      <c r="P27" s="612"/>
      <c r="Q27" s="726"/>
      <c r="R27" s="726"/>
    </row>
    <row r="28" spans="1:20" x14ac:dyDescent="0.2">
      <c r="P28" s="583"/>
      <c r="Q28" s="726"/>
      <c r="R28" s="726"/>
    </row>
    <row r="29" spans="1:20" ht="12" thickBot="1" x14ac:dyDescent="0.25">
      <c r="A29" s="627" t="s">
        <v>85</v>
      </c>
      <c r="B29" s="727" t="s">
        <v>86</v>
      </c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728"/>
      <c r="R29" s="726"/>
    </row>
    <row r="30" spans="1:20" ht="12" thickBot="1" x14ac:dyDescent="0.25">
      <c r="A30" s="628"/>
      <c r="B30" s="629" t="s">
        <v>166</v>
      </c>
      <c r="C30" s="630">
        <f t="shared" ref="C30:N30" si="15">IF(C36=0,"0",C31/C36)</f>
        <v>1.2310123211548054</v>
      </c>
      <c r="D30" s="630">
        <f t="shared" si="15"/>
        <v>2.1954513669480593</v>
      </c>
      <c r="E30" s="630">
        <f t="shared" si="15"/>
        <v>1.227649451458114</v>
      </c>
      <c r="F30" s="630">
        <f t="shared" si="15"/>
        <v>1.5574228728683461</v>
      </c>
      <c r="G30" s="630">
        <f t="shared" si="15"/>
        <v>1.8498912721044174</v>
      </c>
      <c r="H30" s="630">
        <f t="shared" si="15"/>
        <v>1.3007094978434623</v>
      </c>
      <c r="I30" s="630" t="str">
        <f t="shared" si="15"/>
        <v>0</v>
      </c>
      <c r="J30" s="630" t="str">
        <f t="shared" si="15"/>
        <v>0</v>
      </c>
      <c r="K30" s="630" t="str">
        <f t="shared" si="15"/>
        <v>0</v>
      </c>
      <c r="L30" s="630" t="str">
        <f t="shared" si="15"/>
        <v>0</v>
      </c>
      <c r="M30" s="630" t="str">
        <f t="shared" si="15"/>
        <v>0</v>
      </c>
      <c r="N30" s="630" t="str">
        <f t="shared" si="15"/>
        <v>0</v>
      </c>
      <c r="O30" s="729">
        <f>+O31/O36</f>
        <v>1.4771985051747694</v>
      </c>
      <c r="P30" s="730">
        <f>+P31/P36</f>
        <v>1.6966703743644314</v>
      </c>
      <c r="Q30" s="730">
        <f>+Q31/Q36</f>
        <v>1.8771009256822935</v>
      </c>
      <c r="R30" s="730">
        <f>+R31/R36</f>
        <v>1.8771009256822937</v>
      </c>
    </row>
    <row r="31" spans="1:20" ht="12" thickTop="1" x14ac:dyDescent="0.2">
      <c r="A31" s="631" t="s">
        <v>88</v>
      </c>
      <c r="B31" s="597" t="s">
        <v>39</v>
      </c>
      <c r="C31" s="589">
        <v>270437.65000000002</v>
      </c>
      <c r="D31" s="589">
        <v>263289.11</v>
      </c>
      <c r="E31" s="589">
        <v>298938.34999999998</v>
      </c>
      <c r="F31" s="589">
        <v>245031.63</v>
      </c>
      <c r="G31" s="589">
        <v>154656.82999999999</v>
      </c>
      <c r="H31" s="589">
        <v>111036.38</v>
      </c>
      <c r="I31" s="589"/>
      <c r="J31" s="589"/>
      <c r="K31" s="589"/>
      <c r="L31" s="589"/>
      <c r="M31" s="589"/>
      <c r="N31" s="589"/>
      <c r="O31" s="709">
        <f>SUM(C31:N31)</f>
        <v>1343389.9500000002</v>
      </c>
      <c r="P31" s="589">
        <v>1194721.71</v>
      </c>
      <c r="Q31" s="708">
        <f>+'Tab-22 ProfitPlan'!C28</f>
        <v>4340772.1994463373</v>
      </c>
      <c r="R31" s="731">
        <f t="shared" ref="R31:R43" si="16">+Q31/12</f>
        <v>361731.01662052813</v>
      </c>
    </row>
    <row r="32" spans="1:20" x14ac:dyDescent="0.2">
      <c r="A32" s="631" t="s">
        <v>89</v>
      </c>
      <c r="B32" s="597" t="s">
        <v>90</v>
      </c>
      <c r="C32" s="589">
        <v>41707.15</v>
      </c>
      <c r="D32" s="589">
        <v>117664.86</v>
      </c>
      <c r="E32" s="589">
        <v>12657.78</v>
      </c>
      <c r="F32" s="589">
        <v>53795.6</v>
      </c>
      <c r="G32" s="589">
        <v>38200.949999999997</v>
      </c>
      <c r="H32" s="589">
        <v>616.71</v>
      </c>
      <c r="I32" s="589"/>
      <c r="J32" s="589"/>
      <c r="K32" s="589"/>
      <c r="L32" s="589"/>
      <c r="M32" s="589"/>
      <c r="N32" s="589"/>
      <c r="O32" s="709">
        <f>SUM(C32:N32)</f>
        <v>264643.05000000005</v>
      </c>
      <c r="P32" s="589">
        <v>226268.06</v>
      </c>
      <c r="Q32" s="708">
        <f>+'Tab-22 ProfitPlan'!C76</f>
        <v>1114952.9338921194</v>
      </c>
      <c r="R32" s="731">
        <f t="shared" si="16"/>
        <v>92912.744491009958</v>
      </c>
    </row>
    <row r="33" spans="1:18" ht="12" thickBot="1" x14ac:dyDescent="0.25">
      <c r="A33" s="627" t="s">
        <v>91</v>
      </c>
      <c r="B33" s="592" t="s">
        <v>92</v>
      </c>
      <c r="C33" s="593">
        <v>72758.31</v>
      </c>
      <c r="D33" s="763">
        <v>75976.78</v>
      </c>
      <c r="E33" s="593">
        <v>108843.09</v>
      </c>
      <c r="F33" s="593">
        <v>92738.76</v>
      </c>
      <c r="G33" s="593">
        <v>100015.07</v>
      </c>
      <c r="H33" s="593">
        <v>78625.98</v>
      </c>
      <c r="I33" s="593"/>
      <c r="J33" s="593"/>
      <c r="K33" s="593"/>
      <c r="L33" s="593"/>
      <c r="M33" s="593"/>
      <c r="N33" s="593"/>
      <c r="O33" s="712">
        <f>SUM(C33:N33)</f>
        <v>528957.99</v>
      </c>
      <c r="P33" s="593">
        <v>639213.06000000006</v>
      </c>
      <c r="Q33" s="711">
        <f>+'Tab-22 ProfitPlan'!C128+'Tab-22 ProfitPlan'!C137</f>
        <v>1519637.7547157346</v>
      </c>
      <c r="R33" s="732">
        <f t="shared" si="16"/>
        <v>126636.47955964455</v>
      </c>
    </row>
    <row r="34" spans="1:18" x14ac:dyDescent="0.2">
      <c r="A34" s="631" t="s">
        <v>93</v>
      </c>
      <c r="B34" s="597" t="s">
        <v>94</v>
      </c>
      <c r="C34" s="632">
        <f t="shared" ref="C34:P34" si="17">+C31-C32-C33</f>
        <v>155972.19000000003</v>
      </c>
      <c r="D34" s="632">
        <f t="shared" si="17"/>
        <v>69647.47</v>
      </c>
      <c r="E34" s="632">
        <f t="shared" si="17"/>
        <v>177437.47999999995</v>
      </c>
      <c r="F34" s="632">
        <f t="shared" si="17"/>
        <v>98497.27</v>
      </c>
      <c r="G34" s="632">
        <f t="shared" si="17"/>
        <v>16440.809999999983</v>
      </c>
      <c r="H34" s="632">
        <f t="shared" si="17"/>
        <v>31793.690000000002</v>
      </c>
      <c r="I34" s="632">
        <f t="shared" si="17"/>
        <v>0</v>
      </c>
      <c r="J34" s="632">
        <f t="shared" si="17"/>
        <v>0</v>
      </c>
      <c r="K34" s="632">
        <f t="shared" si="17"/>
        <v>0</v>
      </c>
      <c r="L34" s="632">
        <f t="shared" si="17"/>
        <v>0</v>
      </c>
      <c r="M34" s="632">
        <f t="shared" si="17"/>
        <v>0</v>
      </c>
      <c r="N34" s="632">
        <f t="shared" si="17"/>
        <v>0</v>
      </c>
      <c r="O34" s="733">
        <f t="shared" si="17"/>
        <v>549788.91000000015</v>
      </c>
      <c r="P34" s="733">
        <f t="shared" si="17"/>
        <v>329240.58999999985</v>
      </c>
      <c r="Q34" s="734">
        <f>+'Tab-22 ProfitPlan'!$C$140</f>
        <v>1706181.510838483</v>
      </c>
      <c r="R34" s="734">
        <f t="shared" si="16"/>
        <v>142181.79256987359</v>
      </c>
    </row>
    <row r="35" spans="1:18" ht="12" thickBot="1" x14ac:dyDescent="0.25">
      <c r="A35" s="627" t="s">
        <v>95</v>
      </c>
      <c r="B35" s="592" t="s">
        <v>96</v>
      </c>
      <c r="C35" s="593">
        <v>63715.01</v>
      </c>
      <c r="D35" s="593">
        <v>50277.35</v>
      </c>
      <c r="E35" s="593">
        <v>66067.17</v>
      </c>
      <c r="F35" s="593">
        <v>58834.2</v>
      </c>
      <c r="G35" s="593">
        <v>67162.39</v>
      </c>
      <c r="H35" s="593">
        <v>53572.32</v>
      </c>
      <c r="I35" s="593"/>
      <c r="J35" s="593"/>
      <c r="K35" s="593"/>
      <c r="L35" s="593"/>
      <c r="M35" s="593"/>
      <c r="N35" s="593"/>
      <c r="O35" s="712">
        <f>SUM(C35:N35)</f>
        <v>359628.44</v>
      </c>
      <c r="P35" s="593">
        <v>374916.05</v>
      </c>
      <c r="Q35" s="711">
        <f>+'Tab-22 ProfitPlan'!C137</f>
        <v>606305.86800000002</v>
      </c>
      <c r="R35" s="732">
        <f t="shared" si="16"/>
        <v>50525.489000000001</v>
      </c>
    </row>
    <row r="36" spans="1:18" ht="12" thickBot="1" x14ac:dyDescent="0.25">
      <c r="A36" s="633" t="s">
        <v>97</v>
      </c>
      <c r="B36" s="634" t="s">
        <v>31</v>
      </c>
      <c r="C36" s="595">
        <f t="shared" ref="C36:P36" si="18">+C35+C34</f>
        <v>219687.20000000004</v>
      </c>
      <c r="D36" s="595">
        <f t="shared" si="18"/>
        <v>119924.82</v>
      </c>
      <c r="E36" s="595">
        <f t="shared" si="18"/>
        <v>243504.64999999997</v>
      </c>
      <c r="F36" s="595">
        <f t="shared" si="18"/>
        <v>157331.47</v>
      </c>
      <c r="G36" s="595">
        <f t="shared" si="18"/>
        <v>83603.199999999983</v>
      </c>
      <c r="H36" s="595">
        <f t="shared" si="18"/>
        <v>85366.010000000009</v>
      </c>
      <c r="I36" s="595">
        <f t="shared" si="18"/>
        <v>0</v>
      </c>
      <c r="J36" s="595">
        <f t="shared" si="18"/>
        <v>0</v>
      </c>
      <c r="K36" s="595">
        <f t="shared" si="18"/>
        <v>0</v>
      </c>
      <c r="L36" s="595">
        <f t="shared" si="18"/>
        <v>0</v>
      </c>
      <c r="M36" s="595">
        <f t="shared" si="18"/>
        <v>0</v>
      </c>
      <c r="N36" s="595">
        <f t="shared" si="18"/>
        <v>0</v>
      </c>
      <c r="O36" s="712">
        <f t="shared" si="18"/>
        <v>909417.35000000009</v>
      </c>
      <c r="P36" s="712">
        <f t="shared" si="18"/>
        <v>704156.6399999999</v>
      </c>
      <c r="Q36" s="732">
        <f>+'Tab-22 ProfitPlan'!C131</f>
        <v>2312487.3788384832</v>
      </c>
      <c r="R36" s="732">
        <f t="shared" si="16"/>
        <v>192707.28156987359</v>
      </c>
    </row>
    <row r="37" spans="1:18" x14ac:dyDescent="0.2">
      <c r="A37" s="635" t="s">
        <v>98</v>
      </c>
      <c r="B37" s="636" t="s">
        <v>99</v>
      </c>
      <c r="C37" s="589">
        <v>20160.16</v>
      </c>
      <c r="D37" s="589">
        <v>27080.36</v>
      </c>
      <c r="E37" s="589">
        <v>21786.67</v>
      </c>
      <c r="F37" s="589">
        <v>29982.48</v>
      </c>
      <c r="G37" s="589">
        <v>25519.599999999999</v>
      </c>
      <c r="H37" s="589">
        <v>35825.82</v>
      </c>
      <c r="I37" s="589"/>
      <c r="J37" s="589"/>
      <c r="K37" s="589"/>
      <c r="L37" s="589"/>
      <c r="M37" s="589"/>
      <c r="N37" s="589"/>
      <c r="O37" s="709">
        <f t="shared" ref="O37:O43" si="19">SUM(C37:N37)</f>
        <v>160355.09</v>
      </c>
      <c r="P37" s="589">
        <v>219178.94</v>
      </c>
      <c r="Q37" s="708">
        <f>+'Tab-22 ProfitPlan'!C152</f>
        <v>556394.72751923068</v>
      </c>
      <c r="R37" s="731">
        <f t="shared" si="16"/>
        <v>46366.227293269221</v>
      </c>
    </row>
    <row r="38" spans="1:18" ht="12" thickBot="1" x14ac:dyDescent="0.25">
      <c r="A38" s="633" t="s">
        <v>100</v>
      </c>
      <c r="B38" s="634" t="s">
        <v>101</v>
      </c>
      <c r="C38" s="593">
        <v>8633.01</v>
      </c>
      <c r="D38" s="593">
        <v>15150.47</v>
      </c>
      <c r="E38" s="593">
        <v>1118.3399999999999</v>
      </c>
      <c r="F38" s="593">
        <v>7261.2</v>
      </c>
      <c r="G38" s="593">
        <v>-1543.15</v>
      </c>
      <c r="H38" s="593">
        <v>1740.7</v>
      </c>
      <c r="I38" s="593"/>
      <c r="J38" s="593"/>
      <c r="K38" s="593"/>
      <c r="L38" s="593"/>
      <c r="M38" s="593"/>
      <c r="N38" s="593"/>
      <c r="O38" s="712">
        <f t="shared" si="19"/>
        <v>32360.57</v>
      </c>
      <c r="P38" s="593">
        <v>42776.91</v>
      </c>
      <c r="Q38" s="711">
        <f>+'Tab-22 ProfitPlan'!C159</f>
        <v>84239.447538461536</v>
      </c>
      <c r="R38" s="732">
        <f t="shared" si="16"/>
        <v>7019.953961538461</v>
      </c>
    </row>
    <row r="39" spans="1:18" x14ac:dyDescent="0.2">
      <c r="A39" s="635" t="s">
        <v>102</v>
      </c>
      <c r="B39" s="636" t="s">
        <v>103</v>
      </c>
      <c r="C39" s="607">
        <f t="shared" ref="C39:N39" si="20">+C38+C37</f>
        <v>28793.17</v>
      </c>
      <c r="D39" s="607">
        <f t="shared" si="20"/>
        <v>42230.83</v>
      </c>
      <c r="E39" s="607">
        <f t="shared" si="20"/>
        <v>22905.01</v>
      </c>
      <c r="F39" s="607">
        <f t="shared" si="20"/>
        <v>37243.68</v>
      </c>
      <c r="G39" s="607">
        <f t="shared" si="20"/>
        <v>23976.449999999997</v>
      </c>
      <c r="H39" s="607">
        <f t="shared" si="20"/>
        <v>37566.519999999997</v>
      </c>
      <c r="I39" s="607">
        <f t="shared" si="20"/>
        <v>0</v>
      </c>
      <c r="J39" s="607">
        <f t="shared" si="20"/>
        <v>0</v>
      </c>
      <c r="K39" s="607">
        <f t="shared" si="20"/>
        <v>0</v>
      </c>
      <c r="L39" s="607">
        <f t="shared" si="20"/>
        <v>0</v>
      </c>
      <c r="M39" s="607">
        <f t="shared" si="20"/>
        <v>0</v>
      </c>
      <c r="N39" s="607">
        <f t="shared" si="20"/>
        <v>0</v>
      </c>
      <c r="O39" s="709">
        <f t="shared" si="19"/>
        <v>192715.66</v>
      </c>
      <c r="P39" s="709">
        <f>+P38+P37</f>
        <v>261955.85</v>
      </c>
      <c r="Q39" s="731">
        <f>+Q38+Q37</f>
        <v>640634.17505769222</v>
      </c>
      <c r="R39" s="731">
        <f t="shared" si="16"/>
        <v>53386.181254807685</v>
      </c>
    </row>
    <row r="40" spans="1:18" ht="12" thickBot="1" x14ac:dyDescent="0.25">
      <c r="A40" s="633" t="s">
        <v>104</v>
      </c>
      <c r="B40" s="634" t="s">
        <v>54</v>
      </c>
      <c r="C40" s="595">
        <f t="shared" ref="C40:N40" si="21">+C41-C37-C38</f>
        <v>54906.21</v>
      </c>
      <c r="D40" s="595">
        <f t="shared" si="21"/>
        <v>64667.89</v>
      </c>
      <c r="E40" s="595">
        <f t="shared" si="21"/>
        <v>58453.880000000005</v>
      </c>
      <c r="F40" s="595">
        <f t="shared" si="21"/>
        <v>55650.040000000008</v>
      </c>
      <c r="G40" s="595">
        <f t="shared" si="21"/>
        <v>46644.820000000007</v>
      </c>
      <c r="H40" s="595">
        <f t="shared" si="21"/>
        <v>52441.560000000005</v>
      </c>
      <c r="I40" s="595">
        <f t="shared" si="21"/>
        <v>0</v>
      </c>
      <c r="J40" s="595">
        <f t="shared" si="21"/>
        <v>0</v>
      </c>
      <c r="K40" s="595">
        <f t="shared" si="21"/>
        <v>0</v>
      </c>
      <c r="L40" s="595">
        <f t="shared" si="21"/>
        <v>0</v>
      </c>
      <c r="M40" s="595">
        <f t="shared" si="21"/>
        <v>0</v>
      </c>
      <c r="N40" s="595">
        <f t="shared" si="21"/>
        <v>0</v>
      </c>
      <c r="O40" s="712">
        <f t="shared" si="19"/>
        <v>332764.40000000002</v>
      </c>
      <c r="P40" s="758">
        <v>426584</v>
      </c>
      <c r="Q40" s="732">
        <f>+'Tab-22 ProfitPlan'!C316</f>
        <v>693002.10596682504</v>
      </c>
      <c r="R40" s="732">
        <f t="shared" si="16"/>
        <v>57750.175497235417</v>
      </c>
    </row>
    <row r="41" spans="1:18" ht="12" thickBot="1" x14ac:dyDescent="0.25">
      <c r="A41" s="633" t="s">
        <v>105</v>
      </c>
      <c r="B41" s="638" t="s">
        <v>106</v>
      </c>
      <c r="C41" s="593">
        <v>83699.38</v>
      </c>
      <c r="D41" s="593">
        <v>106898.72</v>
      </c>
      <c r="E41" s="593">
        <v>81358.89</v>
      </c>
      <c r="F41" s="593">
        <v>92893.72</v>
      </c>
      <c r="G41" s="593">
        <v>70621.27</v>
      </c>
      <c r="H41" s="593">
        <v>90008.08</v>
      </c>
      <c r="I41" s="593"/>
      <c r="J41" s="593"/>
      <c r="K41" s="593"/>
      <c r="L41" s="593"/>
      <c r="M41" s="593"/>
      <c r="N41" s="593"/>
      <c r="O41" s="735">
        <f t="shared" si="19"/>
        <v>525480.05999999994</v>
      </c>
      <c r="P41" s="757">
        <v>671979.77</v>
      </c>
      <c r="Q41" s="736">
        <f>+'Tab-22 ProfitPlan'!C319</f>
        <v>1333636.2810245173</v>
      </c>
      <c r="R41" s="737">
        <f t="shared" si="16"/>
        <v>111136.35675204311</v>
      </c>
    </row>
    <row r="42" spans="1:18" ht="12" thickBot="1" x14ac:dyDescent="0.25">
      <c r="A42" s="633" t="s">
        <v>107</v>
      </c>
      <c r="B42" s="634" t="s">
        <v>34</v>
      </c>
      <c r="C42" s="595">
        <f t="shared" ref="C42:N42" si="22">+C41+C35</f>
        <v>147414.39000000001</v>
      </c>
      <c r="D42" s="595">
        <f t="shared" si="22"/>
        <v>157176.07</v>
      </c>
      <c r="E42" s="595">
        <f t="shared" si="22"/>
        <v>147426.06</v>
      </c>
      <c r="F42" s="595">
        <f t="shared" si="22"/>
        <v>151727.91999999998</v>
      </c>
      <c r="G42" s="595">
        <f t="shared" si="22"/>
        <v>137783.66</v>
      </c>
      <c r="H42" s="595">
        <f t="shared" si="22"/>
        <v>143580.4</v>
      </c>
      <c r="I42" s="595">
        <f t="shared" si="22"/>
        <v>0</v>
      </c>
      <c r="J42" s="595">
        <f t="shared" si="22"/>
        <v>0</v>
      </c>
      <c r="K42" s="595">
        <f t="shared" si="22"/>
        <v>0</v>
      </c>
      <c r="L42" s="595">
        <f t="shared" si="22"/>
        <v>0</v>
      </c>
      <c r="M42" s="595">
        <f t="shared" si="22"/>
        <v>0</v>
      </c>
      <c r="N42" s="595">
        <f t="shared" si="22"/>
        <v>0</v>
      </c>
      <c r="O42" s="712">
        <f t="shared" si="19"/>
        <v>885108.5</v>
      </c>
      <c r="P42" s="712">
        <f>+P41+P35</f>
        <v>1046895.8200000001</v>
      </c>
      <c r="Q42" s="732">
        <f>+Q41+Q35</f>
        <v>1939942.1490245173</v>
      </c>
      <c r="R42" s="732">
        <f t="shared" si="16"/>
        <v>161661.8457520431</v>
      </c>
    </row>
    <row r="43" spans="1:18" ht="12" thickBot="1" x14ac:dyDescent="0.25">
      <c r="A43" s="641" t="s">
        <v>108</v>
      </c>
      <c r="B43" s="642" t="s">
        <v>35</v>
      </c>
      <c r="C43" s="643">
        <f t="shared" ref="C43:N43" si="23">+C36-C42</f>
        <v>72272.810000000027</v>
      </c>
      <c r="D43" s="643">
        <f t="shared" si="23"/>
        <v>-37251.25</v>
      </c>
      <c r="E43" s="643">
        <f t="shared" si="23"/>
        <v>96078.589999999967</v>
      </c>
      <c r="F43" s="643">
        <f t="shared" si="23"/>
        <v>5603.5500000000175</v>
      </c>
      <c r="G43" s="643">
        <f t="shared" si="23"/>
        <v>-54180.460000000021</v>
      </c>
      <c r="H43" s="643">
        <f t="shared" si="23"/>
        <v>-58214.389999999985</v>
      </c>
      <c r="I43" s="643">
        <f t="shared" si="23"/>
        <v>0</v>
      </c>
      <c r="J43" s="643">
        <f t="shared" si="23"/>
        <v>0</v>
      </c>
      <c r="K43" s="643">
        <f t="shared" si="23"/>
        <v>0</v>
      </c>
      <c r="L43" s="643">
        <f t="shared" si="23"/>
        <v>0</v>
      </c>
      <c r="M43" s="643">
        <f t="shared" si="23"/>
        <v>0</v>
      </c>
      <c r="N43" s="643">
        <f t="shared" si="23"/>
        <v>0</v>
      </c>
      <c r="O43" s="738">
        <f t="shared" si="19"/>
        <v>24308.850000000006</v>
      </c>
      <c r="P43" s="738">
        <f>+P36-P42</f>
        <v>-342739.18000000017</v>
      </c>
      <c r="Q43" s="739">
        <f>+'Tab-22 ProfitPlan'!C322</f>
        <v>372545.22981396562</v>
      </c>
      <c r="R43" s="739">
        <f t="shared" si="16"/>
        <v>31045.435817830468</v>
      </c>
    </row>
    <row r="44" spans="1:18" ht="12.75" thickTop="1" thickBot="1" x14ac:dyDescent="0.25">
      <c r="A44" s="644"/>
      <c r="B44" s="645" t="s">
        <v>109</v>
      </c>
      <c r="C44" s="323">
        <f t="shared" ref="C44:N44" si="24">IF(C36=0,"0",+C43/C36)</f>
        <v>0.32898052321664628</v>
      </c>
      <c r="D44" s="323">
        <f t="shared" si="24"/>
        <v>-0.310621687820753</v>
      </c>
      <c r="E44" s="323">
        <f t="shared" si="24"/>
        <v>0.39456573005895362</v>
      </c>
      <c r="F44" s="323">
        <f t="shared" si="24"/>
        <v>3.5616205708877045E-2</v>
      </c>
      <c r="G44" s="323">
        <f t="shared" si="24"/>
        <v>-0.6480668204087886</v>
      </c>
      <c r="H44" s="323">
        <f t="shared" si="24"/>
        <v>-0.6819387482207494</v>
      </c>
      <c r="I44" s="323" t="str">
        <f t="shared" si="24"/>
        <v>0</v>
      </c>
      <c r="J44" s="323" t="str">
        <f t="shared" si="24"/>
        <v>0</v>
      </c>
      <c r="K44" s="323" t="str">
        <f t="shared" si="24"/>
        <v>0</v>
      </c>
      <c r="L44" s="323" t="str">
        <f t="shared" si="24"/>
        <v>0</v>
      </c>
      <c r="M44" s="323" t="str">
        <f t="shared" si="24"/>
        <v>0</v>
      </c>
      <c r="N44" s="323" t="str">
        <f t="shared" si="24"/>
        <v>0</v>
      </c>
      <c r="O44" s="740">
        <f>+O43/O36</f>
        <v>2.67301366088958E-2</v>
      </c>
      <c r="P44" s="741">
        <f>+P43/P36</f>
        <v>-0.48673712712557848</v>
      </c>
      <c r="Q44" s="742">
        <f>+Q43/Q36</f>
        <v>0.16110151917935558</v>
      </c>
      <c r="R44" s="742">
        <f>+R43/R36</f>
        <v>0.16110151917935558</v>
      </c>
    </row>
    <row r="45" spans="1:18" ht="12" thickTop="1" x14ac:dyDescent="0.2">
      <c r="A45" s="626"/>
      <c r="B45" s="597"/>
      <c r="C45" s="612"/>
      <c r="D45" s="612"/>
      <c r="E45" s="612"/>
      <c r="F45" s="612"/>
      <c r="G45" s="612"/>
      <c r="H45" s="612"/>
      <c r="I45" s="612"/>
      <c r="J45" s="612"/>
      <c r="K45" s="612"/>
      <c r="L45" s="612"/>
      <c r="M45" s="612"/>
      <c r="N45" s="612"/>
      <c r="O45" s="612"/>
      <c r="P45" s="612"/>
      <c r="Q45" s="612"/>
    </row>
    <row r="46" spans="1:18" ht="12" thickBot="1" x14ac:dyDescent="0.25">
      <c r="A46" s="646"/>
      <c r="B46" s="585" t="s">
        <v>2</v>
      </c>
      <c r="C46" s="615"/>
      <c r="D46" s="615"/>
      <c r="E46" s="615"/>
      <c r="F46" s="615"/>
      <c r="G46" s="615"/>
      <c r="H46" s="615"/>
      <c r="I46" s="615"/>
      <c r="J46" s="615"/>
      <c r="K46" s="615"/>
      <c r="L46" s="615"/>
      <c r="M46" s="615"/>
      <c r="N46" s="615"/>
      <c r="O46" s="615"/>
      <c r="P46" s="615"/>
      <c r="Q46" s="615"/>
      <c r="R46" s="743"/>
    </row>
    <row r="47" spans="1:18" x14ac:dyDescent="0.2">
      <c r="A47" s="573"/>
      <c r="B47" s="744" t="s">
        <v>110</v>
      </c>
      <c r="C47" s="745">
        <f>+'Tab-28 CashPlan'!C40</f>
        <v>52651.245817830466</v>
      </c>
      <c r="D47" s="745">
        <f>+'Tab-28 CashPlan'!D40</f>
        <v>83682.931635660934</v>
      </c>
      <c r="E47" s="745">
        <f>+'Tab-28 CashPlan'!E40</f>
        <v>114714.6174534914</v>
      </c>
      <c r="F47" s="745">
        <f>+'Tab-28 CashPlan'!F40</f>
        <v>145746.30327132187</v>
      </c>
      <c r="G47" s="745">
        <f>+'Tab-28 CashPlan'!G40</f>
        <v>176777.98908915234</v>
      </c>
      <c r="H47" s="745">
        <f>+'Tab-28 CashPlan'!H40</f>
        <v>207809.67490698281</v>
      </c>
      <c r="I47" s="745">
        <f>+'Tab-28 CashPlan'!I40</f>
        <v>238841.36072481328</v>
      </c>
      <c r="J47" s="745">
        <f>+'Tab-28 CashPlan'!J40</f>
        <v>269873.04654264374</v>
      </c>
      <c r="K47" s="745">
        <f>+'Tab-28 CashPlan'!K40</f>
        <v>300904.73236047418</v>
      </c>
      <c r="L47" s="745">
        <f>+'Tab-28 CashPlan'!L40</f>
        <v>331936.41817830468</v>
      </c>
      <c r="M47" s="745">
        <f>+'Tab-28 CashPlan'!M40</f>
        <v>362968.10399613518</v>
      </c>
      <c r="N47" s="745">
        <f>+'Tab-28 CashPlan'!N40</f>
        <v>315415.0061538461</v>
      </c>
      <c r="O47" s="745"/>
      <c r="P47" s="746">
        <v>269003</v>
      </c>
      <c r="Q47" s="745">
        <f>+N47</f>
        <v>315415.0061538461</v>
      </c>
      <c r="R47" s="745"/>
    </row>
    <row r="48" spans="1:18" ht="12" thickBot="1" x14ac:dyDescent="0.25">
      <c r="A48" s="648"/>
      <c r="B48" s="634" t="s">
        <v>111</v>
      </c>
      <c r="C48" s="593">
        <v>-90230.47</v>
      </c>
      <c r="D48" s="593">
        <v>-109852.12</v>
      </c>
      <c r="E48" s="593">
        <v>-79200.39</v>
      </c>
      <c r="F48" s="593">
        <v>-17451.89</v>
      </c>
      <c r="G48" s="593">
        <v>-86387.199999999997</v>
      </c>
      <c r="H48" s="593">
        <v>-24206.68</v>
      </c>
      <c r="I48" s="593"/>
      <c r="J48" s="593"/>
      <c r="K48" s="593"/>
      <c r="L48" s="593"/>
      <c r="M48" s="593"/>
      <c r="N48" s="593"/>
      <c r="O48" s="593">
        <v>-24206.68</v>
      </c>
      <c r="P48" s="593">
        <v>-30112.28</v>
      </c>
      <c r="Q48" s="594"/>
      <c r="R48" s="594">
        <v>0</v>
      </c>
    </row>
    <row r="49" spans="1:22" ht="12" thickBot="1" x14ac:dyDescent="0.25">
      <c r="A49" s="648"/>
      <c r="B49" s="634" t="s">
        <v>112</v>
      </c>
      <c r="C49" s="649">
        <f t="shared" ref="C49:R49" si="25">SUM(C50:C55)</f>
        <v>323227.08999999997</v>
      </c>
      <c r="D49" s="649">
        <f t="shared" si="25"/>
        <v>293350.47000000003</v>
      </c>
      <c r="E49" s="649">
        <f>SUM(E50:E55)</f>
        <v>370809.57999999996</v>
      </c>
      <c r="F49" s="649">
        <f>SUM(F50:F55)</f>
        <v>278716.76</v>
      </c>
      <c r="G49" s="649">
        <f t="shared" si="25"/>
        <v>264457.33</v>
      </c>
      <c r="H49" s="595">
        <f>SUM(H50:H55)</f>
        <v>176131.51</v>
      </c>
      <c r="I49" s="747">
        <f t="shared" si="25"/>
        <v>0</v>
      </c>
      <c r="J49" s="595">
        <f t="shared" si="25"/>
        <v>0</v>
      </c>
      <c r="K49" s="595">
        <f>SUM(K50:K55)</f>
        <v>0</v>
      </c>
      <c r="L49" s="595">
        <f t="shared" si="25"/>
        <v>0</v>
      </c>
      <c r="M49" s="595">
        <f t="shared" si="25"/>
        <v>0</v>
      </c>
      <c r="N49" s="595">
        <f t="shared" si="25"/>
        <v>0</v>
      </c>
      <c r="O49" s="595">
        <f>SUM(O50:O55)</f>
        <v>176131.51</v>
      </c>
      <c r="P49" s="595">
        <f t="shared" si="25"/>
        <v>397002.55</v>
      </c>
      <c r="Q49" s="764">
        <v>210210.7</v>
      </c>
      <c r="R49" s="747">
        <f t="shared" si="25"/>
        <v>0</v>
      </c>
    </row>
    <row r="50" spans="1:22" x14ac:dyDescent="0.2">
      <c r="A50" s="650"/>
      <c r="B50" s="636" t="s">
        <v>9</v>
      </c>
      <c r="C50" s="589">
        <v>0</v>
      </c>
      <c r="D50" s="589">
        <f>-260.79+300</f>
        <v>39.20999999999998</v>
      </c>
      <c r="E50" s="589">
        <f>-10+500</f>
        <v>490</v>
      </c>
      <c r="F50" s="589">
        <v>490</v>
      </c>
      <c r="G50" s="589">
        <v>720</v>
      </c>
      <c r="H50" s="589">
        <v>720</v>
      </c>
      <c r="I50" s="589"/>
      <c r="J50" s="589"/>
      <c r="K50" s="589"/>
      <c r="L50" s="589"/>
      <c r="M50" s="589"/>
      <c r="N50" s="589"/>
      <c r="O50" s="589">
        <v>720</v>
      </c>
      <c r="P50" s="589">
        <v>1245</v>
      </c>
      <c r="Q50" s="590">
        <v>0</v>
      </c>
      <c r="R50" s="749">
        <v>0</v>
      </c>
      <c r="V50" s="562" t="s">
        <v>168</v>
      </c>
    </row>
    <row r="51" spans="1:22" x14ac:dyDescent="0.2">
      <c r="A51" s="650"/>
      <c r="B51" s="636" t="s">
        <v>6</v>
      </c>
      <c r="C51" s="589">
        <f>115+1681.97</f>
        <v>1796.97</v>
      </c>
      <c r="D51" s="589">
        <f>375.79+1681.97</f>
        <v>2057.7600000000002</v>
      </c>
      <c r="E51" s="589">
        <f>125+1681.97</f>
        <v>1806.97</v>
      </c>
      <c r="F51" s="589">
        <f>125+1681.97</f>
        <v>1806.97</v>
      </c>
      <c r="G51" s="589">
        <f>334.25+1681.97</f>
        <v>2016.22</v>
      </c>
      <c r="H51" s="589">
        <f>170+1681.97</f>
        <v>1851.97</v>
      </c>
      <c r="I51" s="589"/>
      <c r="J51" s="589"/>
      <c r="K51" s="589"/>
      <c r="L51" s="589"/>
      <c r="M51" s="589"/>
      <c r="N51" s="589"/>
      <c r="O51" s="589">
        <f>170+1681.97</f>
        <v>1851.97</v>
      </c>
      <c r="P51" s="589">
        <v>2329.91</v>
      </c>
      <c r="Q51" s="590">
        <v>0</v>
      </c>
      <c r="R51" s="749">
        <v>0</v>
      </c>
    </row>
    <row r="52" spans="1:22" x14ac:dyDescent="0.2">
      <c r="A52" s="650"/>
      <c r="B52" s="636" t="s">
        <v>5</v>
      </c>
      <c r="C52" s="589">
        <v>273797.99</v>
      </c>
      <c r="D52" s="589">
        <v>250110.32</v>
      </c>
      <c r="E52" s="589">
        <v>301475.31</v>
      </c>
      <c r="F52" s="589">
        <v>226822.17</v>
      </c>
      <c r="G52" s="589">
        <v>149281.63</v>
      </c>
      <c r="H52" s="589">
        <v>91119.71</v>
      </c>
      <c r="I52" s="589"/>
      <c r="J52" s="589"/>
      <c r="K52" s="589"/>
      <c r="L52" s="589"/>
      <c r="M52" s="589"/>
      <c r="N52" s="589"/>
      <c r="O52" s="589">
        <v>91119.71</v>
      </c>
      <c r="P52" s="589">
        <v>389296.49</v>
      </c>
      <c r="Q52" s="590">
        <v>0</v>
      </c>
      <c r="R52" s="749">
        <v>0</v>
      </c>
    </row>
    <row r="53" spans="1:22" x14ac:dyDescent="0.2">
      <c r="A53" s="650"/>
      <c r="B53" s="636" t="s">
        <v>7</v>
      </c>
      <c r="C53" s="589">
        <v>44171.33</v>
      </c>
      <c r="D53" s="589">
        <v>10552.43</v>
      </c>
      <c r="E53" s="589">
        <v>24899.31</v>
      </c>
      <c r="F53" s="589">
        <v>15221.03</v>
      </c>
      <c r="G53" s="589">
        <v>86816.05</v>
      </c>
      <c r="H53" s="589">
        <v>25869.13</v>
      </c>
      <c r="I53" s="589"/>
      <c r="J53" s="589"/>
      <c r="K53" s="589"/>
      <c r="L53" s="589"/>
      <c r="M53" s="589"/>
      <c r="N53" s="589"/>
      <c r="O53" s="589">
        <v>25869.13</v>
      </c>
      <c r="P53" s="589">
        <v>9234.61</v>
      </c>
      <c r="Q53" s="590">
        <v>0</v>
      </c>
      <c r="R53" s="749">
        <v>0</v>
      </c>
    </row>
    <row r="54" spans="1:22" x14ac:dyDescent="0.2">
      <c r="A54" s="650"/>
      <c r="B54" s="636" t="s">
        <v>8</v>
      </c>
      <c r="C54" s="589">
        <v>21473.93</v>
      </c>
      <c r="D54" s="589">
        <v>33261.25</v>
      </c>
      <c r="E54" s="589">
        <v>10552.43</v>
      </c>
      <c r="F54" s="589">
        <v>195</v>
      </c>
      <c r="G54" s="589">
        <v>11358.84</v>
      </c>
      <c r="H54" s="589">
        <v>45339.98</v>
      </c>
      <c r="I54" s="589"/>
      <c r="J54" s="589"/>
      <c r="K54" s="589"/>
      <c r="L54" s="589"/>
      <c r="M54" s="589"/>
      <c r="N54" s="589"/>
      <c r="O54" s="589">
        <v>45339.98</v>
      </c>
      <c r="P54" s="589">
        <v>6037.4</v>
      </c>
      <c r="Q54" s="590">
        <v>0</v>
      </c>
      <c r="R54" s="749">
        <v>0</v>
      </c>
    </row>
    <row r="55" spans="1:22" ht="12" thickBot="1" x14ac:dyDescent="0.25">
      <c r="A55" s="608"/>
      <c r="B55" s="651" t="s">
        <v>113</v>
      </c>
      <c r="C55" s="610">
        <f>-13158.26-4854.87</f>
        <v>-18013.13</v>
      </c>
      <c r="D55" s="610">
        <f>17313.93+39580.34+20296.1+22795.61-97771.61-4884.87</f>
        <v>-2670.5000000000045</v>
      </c>
      <c r="E55" s="610">
        <f>33261.25+17313.93+37555.34+42081.52-97771.61-854.87</f>
        <v>31585.559999999979</v>
      </c>
      <c r="F55" s="610">
        <f>6721.03+29136.25+17313.93+79636.86-97771.61-854.87</f>
        <v>34181.590000000004</v>
      </c>
      <c r="G55" s="610">
        <f>195+2881.03+779.88+8730+2533.55-854.87</f>
        <v>14264.589999999998</v>
      </c>
      <c r="H55" s="610">
        <f>5163.64+1888.41+1295.12+2883.55</f>
        <v>11230.720000000001</v>
      </c>
      <c r="I55" s="610"/>
      <c r="J55" s="610"/>
      <c r="K55" s="610"/>
      <c r="L55" s="610"/>
      <c r="M55" s="610"/>
      <c r="N55" s="610"/>
      <c r="O55" s="610">
        <f>5163.64+1888.41+1295.12+2883.55</f>
        <v>11230.720000000001</v>
      </c>
      <c r="P55" s="610">
        <f>2000+4193.67+2403.01+45705.76-65443.3</f>
        <v>-11140.86</v>
      </c>
      <c r="Q55" s="611">
        <v>0</v>
      </c>
      <c r="R55" s="611">
        <v>0</v>
      </c>
    </row>
    <row r="56" spans="1:22" ht="12" thickTop="1" x14ac:dyDescent="0.2">
      <c r="A56" s="626"/>
      <c r="B56" s="597"/>
      <c r="C56" s="607"/>
      <c r="D56" s="607"/>
      <c r="E56" s="607"/>
      <c r="F56" s="607"/>
      <c r="G56" s="607"/>
      <c r="H56" s="612"/>
      <c r="I56" s="612"/>
      <c r="J56" s="612"/>
      <c r="K56" s="612"/>
      <c r="L56" s="612"/>
      <c r="M56" s="612"/>
      <c r="N56" s="612"/>
      <c r="O56" s="612"/>
      <c r="P56" s="647"/>
      <c r="Q56" s="612"/>
    </row>
    <row r="57" spans="1:22" ht="12" thickBot="1" x14ac:dyDescent="0.25">
      <c r="A57" s="655" t="s">
        <v>167</v>
      </c>
      <c r="B57" s="766"/>
      <c r="C57" s="604">
        <v>17942.38</v>
      </c>
      <c r="D57" s="604">
        <v>17742.75</v>
      </c>
      <c r="E57" s="604">
        <v>18863.29</v>
      </c>
      <c r="F57" s="604">
        <v>46490.76</v>
      </c>
      <c r="G57" s="604">
        <v>44252.14</v>
      </c>
      <c r="H57" s="765">
        <v>14542.23</v>
      </c>
      <c r="I57" s="765"/>
      <c r="J57" s="765"/>
      <c r="K57" s="765"/>
      <c r="L57" s="765"/>
      <c r="M57" s="765"/>
      <c r="N57" s="765"/>
      <c r="O57" s="765">
        <v>14542.23</v>
      </c>
      <c r="P57" s="765">
        <v>62692.88</v>
      </c>
      <c r="Q57" s="765">
        <v>11862.86</v>
      </c>
    </row>
    <row r="58" spans="1:22" ht="12" thickTop="1" x14ac:dyDescent="0.2">
      <c r="A58" s="626"/>
      <c r="B58" s="597"/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47"/>
      <c r="Q58" s="612"/>
    </row>
    <row r="59" spans="1:22" x14ac:dyDescent="0.2">
      <c r="A59" s="626"/>
      <c r="B59" s="597"/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2"/>
      <c r="O59" s="612"/>
      <c r="P59" s="647"/>
      <c r="Q59" s="612"/>
    </row>
    <row r="60" spans="1:22" ht="12" thickBot="1" x14ac:dyDescent="0.25">
      <c r="A60" s="614"/>
      <c r="B60" s="585" t="s">
        <v>13</v>
      </c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5"/>
      <c r="O60" s="615"/>
      <c r="P60" s="615"/>
      <c r="Q60" s="615"/>
      <c r="R60" s="615"/>
    </row>
    <row r="61" spans="1:22" x14ac:dyDescent="0.2">
      <c r="A61" s="656"/>
      <c r="B61" s="657" t="s">
        <v>11</v>
      </c>
      <c r="C61" s="327">
        <f t="shared" ref="C61:N61" si="26">IF(C23="","",+C23/(C12-C23))</f>
        <v>8.771929824561403E-3</v>
      </c>
      <c r="D61" s="327">
        <f t="shared" si="26"/>
        <v>1.5479876160990712E-2</v>
      </c>
      <c r="E61" s="327">
        <f t="shared" si="26"/>
        <v>1.1695906432748537E-2</v>
      </c>
      <c r="F61" s="327">
        <f t="shared" si="26"/>
        <v>9.2879256965944269E-3</v>
      </c>
      <c r="G61" s="327">
        <f t="shared" si="26"/>
        <v>1.9349845201238391E-2</v>
      </c>
      <c r="H61" s="327">
        <f t="shared" si="26"/>
        <v>9.2879256965944269E-3</v>
      </c>
      <c r="I61" s="327" t="e">
        <f t="shared" si="26"/>
        <v>#DIV/0!</v>
      </c>
      <c r="J61" s="327" t="e">
        <f t="shared" si="26"/>
        <v>#DIV/0!</v>
      </c>
      <c r="K61" s="327" t="e">
        <f t="shared" si="26"/>
        <v>#DIV/0!</v>
      </c>
      <c r="L61" s="327" t="e">
        <f t="shared" si="26"/>
        <v>#DIV/0!</v>
      </c>
      <c r="M61" s="327" t="e">
        <f t="shared" si="26"/>
        <v>#DIV/0!</v>
      </c>
      <c r="N61" s="327" t="e">
        <f t="shared" si="26"/>
        <v>#DIV/0!</v>
      </c>
      <c r="O61" s="327">
        <f>+O23/(O12-O23)</f>
        <v>1.2272267206477732E-2</v>
      </c>
      <c r="P61" s="327">
        <f>+P23/(P12-P23)</f>
        <v>1.0880566801619434E-2</v>
      </c>
      <c r="Q61" s="327">
        <f>+Q23/(Q12-Q23)</f>
        <v>0</v>
      </c>
      <c r="R61" s="327">
        <f>+R23/(R12-R23)</f>
        <v>0</v>
      </c>
    </row>
    <row r="62" spans="1:22" ht="12" thickBot="1" x14ac:dyDescent="0.25">
      <c r="A62" s="658"/>
      <c r="B62" s="659" t="s">
        <v>14</v>
      </c>
      <c r="C62" s="309">
        <f t="shared" ref="C62:N62" si="27">IF(C24="","",+C24/(C15-C24))</f>
        <v>0</v>
      </c>
      <c r="D62" s="309">
        <f t="shared" si="27"/>
        <v>0</v>
      </c>
      <c r="E62" s="309">
        <f t="shared" si="27"/>
        <v>0</v>
      </c>
      <c r="F62" s="309">
        <f t="shared" si="27"/>
        <v>0</v>
      </c>
      <c r="G62" s="309">
        <f t="shared" si="27"/>
        <v>0</v>
      </c>
      <c r="H62" s="309">
        <f t="shared" si="27"/>
        <v>0</v>
      </c>
      <c r="I62" s="309" t="str">
        <f t="shared" si="27"/>
        <v/>
      </c>
      <c r="J62" s="309" t="str">
        <f t="shared" si="27"/>
        <v/>
      </c>
      <c r="K62" s="309" t="str">
        <f t="shared" si="27"/>
        <v/>
      </c>
      <c r="L62" s="309" t="str">
        <f t="shared" si="27"/>
        <v/>
      </c>
      <c r="M62" s="309" t="str">
        <f t="shared" si="27"/>
        <v/>
      </c>
      <c r="N62" s="309" t="str">
        <f t="shared" si="27"/>
        <v/>
      </c>
      <c r="O62" s="309">
        <f>+O24/(O15-O24)</f>
        <v>0</v>
      </c>
      <c r="P62" s="309">
        <f>+P24/(P15-P24)</f>
        <v>0</v>
      </c>
      <c r="Q62" s="309">
        <f>+Q24/(Q15-Q24)</f>
        <v>0</v>
      </c>
      <c r="R62" s="309">
        <f>+R24/(R15-R24)</f>
        <v>0</v>
      </c>
    </row>
    <row r="63" spans="1:22" ht="12" thickBot="1" x14ac:dyDescent="0.25">
      <c r="A63" s="660"/>
      <c r="B63" s="661" t="s">
        <v>15</v>
      </c>
      <c r="C63" s="310">
        <f t="shared" ref="C63:N63" si="28">IF(C17=0,"",(+C25/(C17-C25)))</f>
        <v>7.0093457943925233E-3</v>
      </c>
      <c r="D63" s="310">
        <f t="shared" si="28"/>
        <v>1.2315270935960592E-2</v>
      </c>
      <c r="E63" s="310">
        <f t="shared" si="28"/>
        <v>9.3457943925233638E-3</v>
      </c>
      <c r="F63" s="310">
        <f t="shared" si="28"/>
        <v>7.4074074074074077E-3</v>
      </c>
      <c r="G63" s="310">
        <f t="shared" si="28"/>
        <v>1.5394088669950739E-2</v>
      </c>
      <c r="H63" s="310">
        <f t="shared" si="28"/>
        <v>7.4074074074074077E-3</v>
      </c>
      <c r="I63" s="310" t="str">
        <f t="shared" si="28"/>
        <v/>
      </c>
      <c r="J63" s="310" t="str">
        <f t="shared" si="28"/>
        <v/>
      </c>
      <c r="K63" s="310" t="str">
        <f t="shared" si="28"/>
        <v/>
      </c>
      <c r="L63" s="310" t="str">
        <f t="shared" si="28"/>
        <v/>
      </c>
      <c r="M63" s="310" t="str">
        <f t="shared" si="28"/>
        <v/>
      </c>
      <c r="N63" s="310" t="str">
        <f t="shared" si="28"/>
        <v/>
      </c>
      <c r="O63" s="310">
        <f>+O25/(O17-O25)</f>
        <v>9.7861178369652944E-3</v>
      </c>
      <c r="P63" s="310">
        <f>+P25/(P17-P25)</f>
        <v>8.6763518966908801E-3</v>
      </c>
      <c r="Q63" s="310">
        <f>+Q25/(Q17-Q25)</f>
        <v>0</v>
      </c>
      <c r="R63" s="310">
        <f>+R25/(R17-R25)</f>
        <v>0</v>
      </c>
    </row>
    <row r="64" spans="1:22" ht="12" thickTop="1" x14ac:dyDescent="0.2">
      <c r="A64" s="626"/>
      <c r="B64" s="597"/>
      <c r="C64" s="612"/>
      <c r="D64" s="612"/>
      <c r="E64" s="612"/>
      <c r="F64" s="612"/>
      <c r="G64" s="612"/>
      <c r="H64" s="612"/>
      <c r="I64" s="612"/>
      <c r="J64" s="612"/>
      <c r="K64" s="612"/>
      <c r="L64" s="612"/>
      <c r="M64" s="612"/>
      <c r="N64" s="612"/>
      <c r="O64" s="612"/>
      <c r="P64" s="647"/>
      <c r="Q64" s="612"/>
      <c r="R64" s="612"/>
    </row>
    <row r="65" spans="1:18" x14ac:dyDescent="0.2">
      <c r="A65" s="626"/>
      <c r="B65" s="662"/>
      <c r="C65" s="612"/>
      <c r="D65" s="612"/>
      <c r="E65" s="612"/>
      <c r="F65" s="612"/>
      <c r="G65" s="612"/>
      <c r="H65" s="612"/>
      <c r="I65" s="612"/>
      <c r="J65" s="612"/>
      <c r="K65" s="612"/>
      <c r="L65" s="612"/>
      <c r="M65" s="612"/>
      <c r="N65" s="612"/>
      <c r="O65" s="612"/>
      <c r="P65" s="647"/>
      <c r="Q65" s="612"/>
      <c r="R65" s="612"/>
    </row>
    <row r="66" spans="1:18" ht="12" thickBot="1" x14ac:dyDescent="0.25">
      <c r="A66" s="584"/>
      <c r="B66" s="585" t="s">
        <v>16</v>
      </c>
      <c r="C66" s="615"/>
      <c r="D66" s="615"/>
      <c r="E66" s="615"/>
      <c r="F66" s="615"/>
      <c r="G66" s="615"/>
      <c r="H66" s="615"/>
      <c r="I66" s="615"/>
      <c r="J66" s="615"/>
      <c r="K66" s="615"/>
      <c r="L66" s="615"/>
      <c r="M66" s="615"/>
      <c r="N66" s="615"/>
      <c r="O66" s="615"/>
      <c r="P66" s="750"/>
      <c r="Q66" s="615"/>
      <c r="R66" s="615"/>
    </row>
    <row r="67" spans="1:18" x14ac:dyDescent="0.2">
      <c r="A67" s="573"/>
      <c r="B67" s="597" t="s">
        <v>114</v>
      </c>
      <c r="C67" s="663">
        <f t="shared" ref="C67:N67" si="29">IF(C69=0,"",+C69-C68)</f>
        <v>15.545454545454545</v>
      </c>
      <c r="D67" s="663">
        <f t="shared" si="29"/>
        <v>14.681818181818182</v>
      </c>
      <c r="E67" s="663">
        <f t="shared" si="29"/>
        <v>15.545454545454545</v>
      </c>
      <c r="F67" s="663">
        <f t="shared" si="29"/>
        <v>15.380952380952381</v>
      </c>
      <c r="G67" s="663">
        <f t="shared" si="29"/>
        <v>14.681818181818183</v>
      </c>
      <c r="H67" s="663">
        <f t="shared" si="29"/>
        <v>15.380952380952381</v>
      </c>
      <c r="I67" s="663">
        <f t="shared" si="29"/>
        <v>0</v>
      </c>
      <c r="J67" s="663">
        <f t="shared" si="29"/>
        <v>0</v>
      </c>
      <c r="K67" s="663">
        <f t="shared" si="29"/>
        <v>0</v>
      </c>
      <c r="L67" s="663">
        <f t="shared" si="29"/>
        <v>0</v>
      </c>
      <c r="M67" s="663">
        <f t="shared" si="29"/>
        <v>0</v>
      </c>
      <c r="N67" s="663">
        <f t="shared" si="29"/>
        <v>0</v>
      </c>
      <c r="O67" s="663">
        <f>+O69-O68</f>
        <v>15.200000000000001</v>
      </c>
      <c r="P67" s="663">
        <f>+P69-P68</f>
        <v>15.2</v>
      </c>
      <c r="Q67" s="663">
        <f>+Q69-Q68</f>
        <v>14.488549618320612</v>
      </c>
      <c r="R67" s="663">
        <f>+R69-R68</f>
        <v>14.48854961832061</v>
      </c>
    </row>
    <row r="68" spans="1:18" ht="12" thickBot="1" x14ac:dyDescent="0.25">
      <c r="A68" s="584"/>
      <c r="B68" s="592" t="s">
        <v>115</v>
      </c>
      <c r="C68" s="664">
        <f t="shared" ref="C68:N68" si="30">IF(C19="","0.00",+C23/C19)</f>
        <v>0.13636363636363635</v>
      </c>
      <c r="D68" s="664">
        <f t="shared" si="30"/>
        <v>0.22727272727272727</v>
      </c>
      <c r="E68" s="664">
        <f t="shared" si="30"/>
        <v>0.18181818181818182</v>
      </c>
      <c r="F68" s="664">
        <f t="shared" si="30"/>
        <v>0.14285714285714285</v>
      </c>
      <c r="G68" s="664">
        <f t="shared" si="30"/>
        <v>0.28409090909090912</v>
      </c>
      <c r="H68" s="664">
        <f t="shared" si="30"/>
        <v>0.14285714285714285</v>
      </c>
      <c r="I68" s="664" t="str">
        <f t="shared" si="30"/>
        <v>0.00</v>
      </c>
      <c r="J68" s="664" t="str">
        <f t="shared" si="30"/>
        <v>0.00</v>
      </c>
      <c r="K68" s="664" t="str">
        <f t="shared" si="30"/>
        <v>0.00</v>
      </c>
      <c r="L68" s="664" t="str">
        <f t="shared" si="30"/>
        <v>0.00</v>
      </c>
      <c r="M68" s="664" t="str">
        <f t="shared" si="30"/>
        <v>0.00</v>
      </c>
      <c r="N68" s="664" t="str">
        <f t="shared" si="30"/>
        <v>0.00</v>
      </c>
      <c r="O68" s="664">
        <f>+O23/O19</f>
        <v>0.18653846153846154</v>
      </c>
      <c r="P68" s="664">
        <f>+P23/P19</f>
        <v>0.16538461538461538</v>
      </c>
      <c r="Q68" s="664">
        <f>+Q23/Q19</f>
        <v>0</v>
      </c>
      <c r="R68" s="664">
        <f>+R23/R19</f>
        <v>0</v>
      </c>
    </row>
    <row r="69" spans="1:18" ht="12" thickBot="1" x14ac:dyDescent="0.25">
      <c r="A69" s="584"/>
      <c r="B69" s="620" t="s">
        <v>116</v>
      </c>
      <c r="C69" s="664">
        <f t="shared" ref="C69:N69" si="31">IF(C19="","0.00",+C12/C19)</f>
        <v>15.681818181818182</v>
      </c>
      <c r="D69" s="664">
        <f t="shared" si="31"/>
        <v>14.909090909090908</v>
      </c>
      <c r="E69" s="664">
        <f t="shared" si="31"/>
        <v>15.727272727272727</v>
      </c>
      <c r="F69" s="664">
        <f t="shared" si="31"/>
        <v>15.523809523809524</v>
      </c>
      <c r="G69" s="664">
        <f t="shared" si="31"/>
        <v>14.965909090909092</v>
      </c>
      <c r="H69" s="664">
        <f t="shared" si="31"/>
        <v>15.523809523809524</v>
      </c>
      <c r="I69" s="664" t="str">
        <f t="shared" si="31"/>
        <v>0.00</v>
      </c>
      <c r="J69" s="664" t="str">
        <f t="shared" si="31"/>
        <v>0.00</v>
      </c>
      <c r="K69" s="664" t="str">
        <f t="shared" si="31"/>
        <v>0.00</v>
      </c>
      <c r="L69" s="664" t="str">
        <f t="shared" si="31"/>
        <v>0.00</v>
      </c>
      <c r="M69" s="664" t="str">
        <f t="shared" si="31"/>
        <v>0.00</v>
      </c>
      <c r="N69" s="664" t="str">
        <f t="shared" si="31"/>
        <v>0.00</v>
      </c>
      <c r="O69" s="664">
        <f>+O12/O19</f>
        <v>15.386538461538462</v>
      </c>
      <c r="P69" s="664">
        <f>+P12/P19</f>
        <v>15.365384615384615</v>
      </c>
      <c r="Q69" s="664">
        <f>+Q12/Q19</f>
        <v>14.488549618320612</v>
      </c>
      <c r="R69" s="664">
        <f>+R12/R19</f>
        <v>14.48854961832061</v>
      </c>
    </row>
    <row r="70" spans="1:18" x14ac:dyDescent="0.2">
      <c r="B70" s="665" t="s">
        <v>117</v>
      </c>
      <c r="C70" s="666">
        <f t="shared" ref="C70:N70" si="32">IF(C72=0,"0",+C72-C71)</f>
        <v>3.9090909090909092</v>
      </c>
      <c r="D70" s="666">
        <f t="shared" si="32"/>
        <v>3.7727272727272729</v>
      </c>
      <c r="E70" s="666">
        <f t="shared" si="32"/>
        <v>3.9090909090909092</v>
      </c>
      <c r="F70" s="666">
        <f t="shared" si="32"/>
        <v>3.9047619047619047</v>
      </c>
      <c r="G70" s="666">
        <f t="shared" si="32"/>
        <v>3.7727272727272729</v>
      </c>
      <c r="H70" s="666">
        <f t="shared" si="32"/>
        <v>3.9047619047619047</v>
      </c>
      <c r="I70" s="666">
        <f t="shared" si="32"/>
        <v>0</v>
      </c>
      <c r="J70" s="666">
        <f t="shared" si="32"/>
        <v>0</v>
      </c>
      <c r="K70" s="666">
        <f t="shared" si="32"/>
        <v>0</v>
      </c>
      <c r="L70" s="666">
        <f t="shared" si="32"/>
        <v>0</v>
      </c>
      <c r="M70" s="666">
        <f t="shared" si="32"/>
        <v>0</v>
      </c>
      <c r="N70" s="666">
        <f t="shared" si="32"/>
        <v>0</v>
      </c>
      <c r="O70" s="666">
        <f>+O72-O71</f>
        <v>3.8615384615384616</v>
      </c>
      <c r="P70" s="666">
        <f>+P72-P71</f>
        <v>3.8615384615384616</v>
      </c>
      <c r="Q70" s="666">
        <f>+Q72-Q71</f>
        <v>4.1450381679389317</v>
      </c>
      <c r="R70" s="666">
        <f>+R72-R71</f>
        <v>4.1450381679389317</v>
      </c>
    </row>
    <row r="71" spans="1:18" ht="12" thickBot="1" x14ac:dyDescent="0.25">
      <c r="A71" s="584"/>
      <c r="B71" s="620" t="s">
        <v>118</v>
      </c>
      <c r="C71" s="664">
        <f t="shared" ref="C71:N71" si="33">IF(C19="",0,+C24/C19)</f>
        <v>0</v>
      </c>
      <c r="D71" s="664">
        <f t="shared" si="33"/>
        <v>0</v>
      </c>
      <c r="E71" s="664">
        <f t="shared" si="33"/>
        <v>0</v>
      </c>
      <c r="F71" s="664">
        <f t="shared" si="33"/>
        <v>0</v>
      </c>
      <c r="G71" s="664">
        <f t="shared" si="33"/>
        <v>0</v>
      </c>
      <c r="H71" s="664">
        <f t="shared" si="33"/>
        <v>0</v>
      </c>
      <c r="I71" s="664">
        <f t="shared" si="33"/>
        <v>0</v>
      </c>
      <c r="J71" s="664">
        <f t="shared" si="33"/>
        <v>0</v>
      </c>
      <c r="K71" s="664">
        <f t="shared" si="33"/>
        <v>0</v>
      </c>
      <c r="L71" s="664">
        <f t="shared" si="33"/>
        <v>0</v>
      </c>
      <c r="M71" s="664">
        <f t="shared" si="33"/>
        <v>0</v>
      </c>
      <c r="N71" s="664">
        <f t="shared" si="33"/>
        <v>0</v>
      </c>
      <c r="O71" s="664">
        <f>+O24/O19</f>
        <v>0</v>
      </c>
      <c r="P71" s="664">
        <f>+P24/P19</f>
        <v>0</v>
      </c>
      <c r="Q71" s="664">
        <f>+Q24/Q19</f>
        <v>0</v>
      </c>
      <c r="R71" s="664">
        <f>+R24/R19</f>
        <v>0</v>
      </c>
    </row>
    <row r="72" spans="1:18" ht="12" thickBot="1" x14ac:dyDescent="0.25">
      <c r="A72" s="584"/>
      <c r="B72" s="620" t="s">
        <v>119</v>
      </c>
      <c r="C72" s="664">
        <f t="shared" ref="C72:N72" si="34">IF(C19="","0.00",+C15/C19)</f>
        <v>3.9090909090909092</v>
      </c>
      <c r="D72" s="664">
        <f t="shared" si="34"/>
        <v>3.7727272727272729</v>
      </c>
      <c r="E72" s="664">
        <f t="shared" si="34"/>
        <v>3.9090909090909092</v>
      </c>
      <c r="F72" s="664">
        <f t="shared" si="34"/>
        <v>3.9047619047619047</v>
      </c>
      <c r="G72" s="664">
        <f t="shared" si="34"/>
        <v>3.7727272727272729</v>
      </c>
      <c r="H72" s="664">
        <f t="shared" si="34"/>
        <v>3.9047619047619047</v>
      </c>
      <c r="I72" s="664" t="str">
        <f t="shared" si="34"/>
        <v>0.00</v>
      </c>
      <c r="J72" s="664" t="str">
        <f t="shared" si="34"/>
        <v>0.00</v>
      </c>
      <c r="K72" s="664" t="str">
        <f t="shared" si="34"/>
        <v>0.00</v>
      </c>
      <c r="L72" s="664" t="str">
        <f t="shared" si="34"/>
        <v>0.00</v>
      </c>
      <c r="M72" s="664" t="str">
        <f t="shared" si="34"/>
        <v>0.00</v>
      </c>
      <c r="N72" s="664" t="str">
        <f t="shared" si="34"/>
        <v>0.00</v>
      </c>
      <c r="O72" s="664">
        <f>+O15/O19</f>
        <v>3.8615384615384616</v>
      </c>
      <c r="P72" s="664">
        <f>+P15/P19</f>
        <v>3.8615384615384616</v>
      </c>
      <c r="Q72" s="664">
        <f>+Q15/Q19</f>
        <v>4.1450381679389317</v>
      </c>
      <c r="R72" s="664">
        <f>+R15/R19</f>
        <v>4.1450381679389317</v>
      </c>
    </row>
    <row r="73" spans="1:18" ht="12" thickBot="1" x14ac:dyDescent="0.25">
      <c r="A73" s="667"/>
      <c r="B73" s="624" t="s">
        <v>19</v>
      </c>
      <c r="C73" s="668">
        <f t="shared" ref="C73:R73" si="35">+C69+C72</f>
        <v>19.59090909090909</v>
      </c>
      <c r="D73" s="668">
        <f t="shared" si="35"/>
        <v>18.68181818181818</v>
      </c>
      <c r="E73" s="668">
        <f t="shared" si="35"/>
        <v>19.636363636363637</v>
      </c>
      <c r="F73" s="668">
        <f t="shared" si="35"/>
        <v>19.428571428571427</v>
      </c>
      <c r="G73" s="668">
        <f t="shared" si="35"/>
        <v>18.738636363636363</v>
      </c>
      <c r="H73" s="668">
        <f t="shared" si="35"/>
        <v>19.428571428571427</v>
      </c>
      <c r="I73" s="668">
        <f t="shared" si="35"/>
        <v>0</v>
      </c>
      <c r="J73" s="668">
        <f t="shared" si="35"/>
        <v>0</v>
      </c>
      <c r="K73" s="668">
        <f t="shared" si="35"/>
        <v>0</v>
      </c>
      <c r="L73" s="668">
        <f t="shared" si="35"/>
        <v>0</v>
      </c>
      <c r="M73" s="668">
        <f t="shared" si="35"/>
        <v>0</v>
      </c>
      <c r="N73" s="668">
        <f t="shared" si="35"/>
        <v>0</v>
      </c>
      <c r="O73" s="668">
        <f t="shared" si="35"/>
        <v>19.248076923076923</v>
      </c>
      <c r="P73" s="668">
        <f t="shared" si="35"/>
        <v>19.226923076923075</v>
      </c>
      <c r="Q73" s="668">
        <f t="shared" si="35"/>
        <v>18.633587786259543</v>
      </c>
      <c r="R73" s="668">
        <f t="shared" si="35"/>
        <v>18.63358778625954</v>
      </c>
    </row>
    <row r="74" spans="1:18" ht="12" thickTop="1" x14ac:dyDescent="0.2">
      <c r="A74" s="573"/>
      <c r="B74" s="617"/>
      <c r="C74" s="666"/>
      <c r="D74" s="666"/>
      <c r="E74" s="666"/>
      <c r="F74" s="666"/>
      <c r="G74" s="666"/>
      <c r="H74" s="666"/>
      <c r="I74" s="666"/>
      <c r="J74" s="666"/>
      <c r="K74" s="666"/>
      <c r="L74" s="666"/>
      <c r="M74" s="666"/>
      <c r="N74" s="666"/>
      <c r="O74" s="666"/>
      <c r="P74" s="751"/>
      <c r="Q74" s="666"/>
      <c r="R74" s="666"/>
    </row>
    <row r="75" spans="1:18" ht="12" thickBot="1" x14ac:dyDescent="0.25">
      <c r="A75" s="669"/>
      <c r="B75" s="670" t="s">
        <v>24</v>
      </c>
      <c r="C75" s="668">
        <f t="shared" ref="C75:N75" si="36">IF(C12=0,"0",C12/C15)</f>
        <v>4.0116279069767442</v>
      </c>
      <c r="D75" s="668">
        <f t="shared" si="36"/>
        <v>3.9518072289156625</v>
      </c>
      <c r="E75" s="668">
        <f t="shared" si="36"/>
        <v>4.0232558139534884</v>
      </c>
      <c r="F75" s="668">
        <f t="shared" si="36"/>
        <v>3.975609756097561</v>
      </c>
      <c r="G75" s="668">
        <f t="shared" si="36"/>
        <v>3.9668674698795181</v>
      </c>
      <c r="H75" s="668">
        <f t="shared" si="36"/>
        <v>3.975609756097561</v>
      </c>
      <c r="I75" s="668" t="str">
        <f t="shared" si="36"/>
        <v>0</v>
      </c>
      <c r="J75" s="668" t="str">
        <f t="shared" si="36"/>
        <v>0</v>
      </c>
      <c r="K75" s="668" t="str">
        <f t="shared" si="36"/>
        <v>0</v>
      </c>
      <c r="L75" s="668" t="str">
        <f t="shared" si="36"/>
        <v>0</v>
      </c>
      <c r="M75" s="668" t="str">
        <f t="shared" si="36"/>
        <v>0</v>
      </c>
      <c r="N75" s="668" t="str">
        <f t="shared" si="36"/>
        <v>0</v>
      </c>
      <c r="O75" s="668">
        <f>O12/O15</f>
        <v>3.9845617529880477</v>
      </c>
      <c r="P75" s="668">
        <f>P12/P15</f>
        <v>3.9790836653386452</v>
      </c>
      <c r="Q75" s="668">
        <f>Q12/Q15</f>
        <v>3.4953959484346226</v>
      </c>
      <c r="R75" s="668">
        <f>R12/R15</f>
        <v>3.4953959484346222</v>
      </c>
    </row>
    <row r="76" spans="1:18" ht="12" thickTop="1" x14ac:dyDescent="0.2">
      <c r="A76" s="573"/>
      <c r="B76" s="617"/>
      <c r="C76" s="671"/>
      <c r="D76" s="671"/>
      <c r="E76" s="671"/>
      <c r="F76" s="671"/>
      <c r="G76" s="671"/>
      <c r="H76" s="671"/>
      <c r="I76" s="671"/>
      <c r="J76" s="671"/>
      <c r="K76" s="671"/>
      <c r="L76" s="671"/>
      <c r="M76" s="671"/>
      <c r="N76" s="671"/>
      <c r="O76" s="671"/>
      <c r="P76" s="752"/>
      <c r="Q76" s="671"/>
      <c r="R76" s="671"/>
    </row>
    <row r="77" spans="1:18" x14ac:dyDescent="0.2">
      <c r="A77" s="573"/>
      <c r="B77" s="617"/>
      <c r="C77" s="672"/>
      <c r="D77" s="672"/>
      <c r="E77" s="672"/>
      <c r="F77" s="672"/>
      <c r="G77" s="672"/>
      <c r="H77" s="672"/>
      <c r="I77" s="672"/>
      <c r="J77" s="672"/>
      <c r="K77" s="672"/>
      <c r="L77" s="672"/>
      <c r="M77" s="672"/>
      <c r="N77" s="672"/>
      <c r="O77" s="672"/>
      <c r="P77" s="752"/>
      <c r="Q77" s="672"/>
      <c r="R77" s="672"/>
    </row>
    <row r="78" spans="1:18" ht="12" thickBot="1" x14ac:dyDescent="0.25">
      <c r="A78" s="584"/>
      <c r="B78" s="673" t="s">
        <v>20</v>
      </c>
      <c r="C78" s="674"/>
      <c r="D78" s="674"/>
      <c r="E78" s="674"/>
      <c r="F78" s="674"/>
      <c r="G78" s="674"/>
      <c r="H78" s="674"/>
      <c r="I78" s="674"/>
      <c r="J78" s="674"/>
      <c r="K78" s="674"/>
      <c r="L78" s="674"/>
      <c r="M78" s="674"/>
      <c r="N78" s="674"/>
      <c r="O78" s="674"/>
      <c r="P78" s="674"/>
      <c r="Q78" s="674"/>
      <c r="R78" s="674"/>
    </row>
    <row r="79" spans="1:18" x14ac:dyDescent="0.2">
      <c r="A79" s="573"/>
      <c r="B79" s="617" t="s">
        <v>21</v>
      </c>
      <c r="C79" s="666">
        <f t="shared" ref="C79:R79" si="37">+C81-C80</f>
        <v>19.454545454545453</v>
      </c>
      <c r="D79" s="666">
        <f t="shared" si="37"/>
        <v>18.454545454545457</v>
      </c>
      <c r="E79" s="666">
        <f t="shared" si="37"/>
        <v>19.454545454545453</v>
      </c>
      <c r="F79" s="666">
        <f t="shared" si="37"/>
        <v>19.285714285714285</v>
      </c>
      <c r="G79" s="666">
        <f t="shared" si="37"/>
        <v>18.454545454545453</v>
      </c>
      <c r="H79" s="666">
        <f t="shared" si="37"/>
        <v>19.285714285714285</v>
      </c>
      <c r="I79" s="666">
        <f t="shared" si="37"/>
        <v>0</v>
      </c>
      <c r="J79" s="666">
        <f t="shared" si="37"/>
        <v>0</v>
      </c>
      <c r="K79" s="666">
        <f t="shared" si="37"/>
        <v>0</v>
      </c>
      <c r="L79" s="666">
        <f t="shared" si="37"/>
        <v>0</v>
      </c>
      <c r="M79" s="666">
        <f t="shared" si="37"/>
        <v>0</v>
      </c>
      <c r="N79" s="666">
        <f t="shared" si="37"/>
        <v>0</v>
      </c>
      <c r="O79" s="666">
        <f t="shared" si="37"/>
        <v>19.061538461538461</v>
      </c>
      <c r="P79" s="666">
        <f t="shared" si="37"/>
        <v>19.061538461538461</v>
      </c>
      <c r="Q79" s="666">
        <f t="shared" si="37"/>
        <v>18.633587786259543</v>
      </c>
      <c r="R79" s="666">
        <f t="shared" si="37"/>
        <v>18.633587786259543</v>
      </c>
    </row>
    <row r="80" spans="1:18" ht="12" thickBot="1" x14ac:dyDescent="0.25">
      <c r="A80" s="584"/>
      <c r="B80" s="620" t="s">
        <v>22</v>
      </c>
      <c r="C80" s="664">
        <f t="shared" ref="C80:N80" si="38">IF(C19="",0,+C25/C19)</f>
        <v>0.13636363636363635</v>
      </c>
      <c r="D80" s="664">
        <f t="shared" si="38"/>
        <v>0.22727272727272727</v>
      </c>
      <c r="E80" s="664">
        <f t="shared" si="38"/>
        <v>0.18181818181818182</v>
      </c>
      <c r="F80" s="664">
        <f t="shared" si="38"/>
        <v>0.14285714285714285</v>
      </c>
      <c r="G80" s="664">
        <f t="shared" si="38"/>
        <v>0.28409090909090912</v>
      </c>
      <c r="H80" s="664">
        <f t="shared" si="38"/>
        <v>0.14285714285714285</v>
      </c>
      <c r="I80" s="664">
        <f t="shared" si="38"/>
        <v>0</v>
      </c>
      <c r="J80" s="664">
        <f t="shared" si="38"/>
        <v>0</v>
      </c>
      <c r="K80" s="664">
        <f t="shared" si="38"/>
        <v>0</v>
      </c>
      <c r="L80" s="664">
        <f t="shared" si="38"/>
        <v>0</v>
      </c>
      <c r="M80" s="664">
        <f t="shared" si="38"/>
        <v>0</v>
      </c>
      <c r="N80" s="664">
        <f t="shared" si="38"/>
        <v>0</v>
      </c>
      <c r="O80" s="664">
        <f>+O25/O19</f>
        <v>0.18653846153846154</v>
      </c>
      <c r="P80" s="664">
        <f>P68+P71</f>
        <v>0.16538461538461538</v>
      </c>
      <c r="Q80" s="664">
        <f>+Q25/Q19</f>
        <v>0</v>
      </c>
      <c r="R80" s="664">
        <f>+R25/R19</f>
        <v>0</v>
      </c>
    </row>
    <row r="81" spans="1:18" ht="12" thickBot="1" x14ac:dyDescent="0.25">
      <c r="A81" s="667"/>
      <c r="B81" s="624" t="s">
        <v>23</v>
      </c>
      <c r="C81" s="675">
        <f t="shared" ref="C81:N81" si="39">IF(C19="","0.00",+C17/C19)</f>
        <v>19.59090909090909</v>
      </c>
      <c r="D81" s="675">
        <f t="shared" si="39"/>
        <v>18.681818181818183</v>
      </c>
      <c r="E81" s="675">
        <f t="shared" si="39"/>
        <v>19.636363636363637</v>
      </c>
      <c r="F81" s="675">
        <f t="shared" si="39"/>
        <v>19.428571428571427</v>
      </c>
      <c r="G81" s="675">
        <f t="shared" si="39"/>
        <v>18.738636363636363</v>
      </c>
      <c r="H81" s="675">
        <f t="shared" si="39"/>
        <v>19.428571428571427</v>
      </c>
      <c r="I81" s="675" t="str">
        <f t="shared" si="39"/>
        <v>0.00</v>
      </c>
      <c r="J81" s="675" t="str">
        <f t="shared" si="39"/>
        <v>0.00</v>
      </c>
      <c r="K81" s="675" t="str">
        <f t="shared" si="39"/>
        <v>0.00</v>
      </c>
      <c r="L81" s="675" t="str">
        <f t="shared" si="39"/>
        <v>0.00</v>
      </c>
      <c r="M81" s="675" t="str">
        <f t="shared" si="39"/>
        <v>0.00</v>
      </c>
      <c r="N81" s="675" t="str">
        <f t="shared" si="39"/>
        <v>0.00</v>
      </c>
      <c r="O81" s="675">
        <f>+O17/O19</f>
        <v>19.248076923076923</v>
      </c>
      <c r="P81" s="675">
        <f>+P17/P19</f>
        <v>19.226923076923075</v>
      </c>
      <c r="Q81" s="675">
        <f>+Q17/Q19</f>
        <v>18.633587786259543</v>
      </c>
      <c r="R81" s="675">
        <f>+R17/R19</f>
        <v>18.633587786259543</v>
      </c>
    </row>
    <row r="82" spans="1:18" ht="12" thickTop="1" x14ac:dyDescent="0.2">
      <c r="A82" s="573"/>
      <c r="B82" s="617"/>
      <c r="C82" s="672"/>
      <c r="D82" s="672"/>
      <c r="E82" s="672"/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</row>
    <row r="83" spans="1:18" x14ac:dyDescent="0.2">
      <c r="A83" s="573"/>
      <c r="B83" s="617"/>
      <c r="C83" s="672"/>
      <c r="D83" s="672"/>
      <c r="E83" s="672"/>
      <c r="F83" s="672"/>
      <c r="G83" s="672"/>
      <c r="H83" s="672"/>
      <c r="I83" s="672"/>
      <c r="J83" s="672"/>
      <c r="K83" s="672"/>
      <c r="L83" s="672"/>
      <c r="M83" s="672"/>
      <c r="N83" s="672"/>
      <c r="O83" s="672"/>
      <c r="P83" s="672"/>
      <c r="Q83" s="672"/>
      <c r="R83" s="672"/>
    </row>
    <row r="84" spans="1:18" ht="12" thickBot="1" x14ac:dyDescent="0.25">
      <c r="A84" s="584"/>
      <c r="B84" s="585" t="s">
        <v>25</v>
      </c>
      <c r="C84" s="615"/>
      <c r="D84" s="615"/>
      <c r="E84" s="615"/>
      <c r="F84" s="615"/>
      <c r="G84" s="615"/>
      <c r="H84" s="615"/>
      <c r="I84" s="615"/>
      <c r="J84" s="615"/>
      <c r="K84" s="615"/>
      <c r="L84" s="615"/>
      <c r="M84" s="615"/>
      <c r="N84" s="615"/>
      <c r="O84" s="615"/>
      <c r="P84" s="750"/>
      <c r="Q84" s="615"/>
      <c r="R84" s="615"/>
    </row>
    <row r="85" spans="1:18" x14ac:dyDescent="0.2">
      <c r="B85" s="588" t="s">
        <v>26</v>
      </c>
      <c r="C85" s="676">
        <f t="shared" ref="C85:N85" si="40">IF(C102=0,0,+C100/C102)</f>
        <v>0.68875001108010137</v>
      </c>
      <c r="D85" s="676">
        <f t="shared" si="40"/>
        <v>0.54349085670045616</v>
      </c>
      <c r="E85" s="676">
        <f t="shared" si="40"/>
        <v>0.74255986534217777</v>
      </c>
      <c r="F85" s="676">
        <f t="shared" si="40"/>
        <v>0.61235947337722263</v>
      </c>
      <c r="G85" s="676">
        <f t="shared" si="40"/>
        <v>0.73692390642672212</v>
      </c>
      <c r="H85" s="676">
        <f t="shared" si="40"/>
        <v>0.58780998309831467</v>
      </c>
      <c r="I85" s="676">
        <f t="shared" si="40"/>
        <v>0</v>
      </c>
      <c r="J85" s="676">
        <f t="shared" si="40"/>
        <v>0</v>
      </c>
      <c r="K85" s="676">
        <f t="shared" si="40"/>
        <v>0</v>
      </c>
      <c r="L85" s="676">
        <f t="shared" si="40"/>
        <v>0</v>
      </c>
      <c r="M85" s="676">
        <f t="shared" si="40"/>
        <v>0</v>
      </c>
      <c r="N85" s="676">
        <f t="shared" si="40"/>
        <v>0</v>
      </c>
      <c r="O85" s="676">
        <f>+O100/O102</f>
        <v>0.65109492434154725</v>
      </c>
      <c r="P85" s="676">
        <f>+P100/P102</f>
        <v>0.588683611256832</v>
      </c>
      <c r="Q85" s="676">
        <f>+Q100/Q102</f>
        <v>0.4862349808842798</v>
      </c>
      <c r="R85" s="676">
        <f>+R100/R102</f>
        <v>0.4862349808842798</v>
      </c>
    </row>
    <row r="86" spans="1:18" x14ac:dyDescent="0.2">
      <c r="B86" s="588" t="s">
        <v>27</v>
      </c>
      <c r="C86" s="676">
        <f t="shared" ref="C86:N86" si="41">IF(C25=0,"",+C9/(C17-C25))</f>
        <v>0.57184579439252337</v>
      </c>
      <c r="D86" s="676">
        <f t="shared" si="41"/>
        <v>0.46490147783251229</v>
      </c>
      <c r="E86" s="676">
        <f t="shared" si="41"/>
        <v>0.60893691588785048</v>
      </c>
      <c r="F86" s="676">
        <f t="shared" si="41"/>
        <v>0.59135802469135801</v>
      </c>
      <c r="G86" s="676">
        <f t="shared" si="41"/>
        <v>0.65363300492610843</v>
      </c>
      <c r="H86" s="676">
        <f t="shared" si="41"/>
        <v>0.54228395061728396</v>
      </c>
      <c r="I86" s="676" t="str">
        <f t="shared" si="41"/>
        <v/>
      </c>
      <c r="J86" s="676" t="str">
        <f t="shared" si="41"/>
        <v/>
      </c>
      <c r="K86" s="676" t="str">
        <f t="shared" si="41"/>
        <v/>
      </c>
      <c r="L86" s="676" t="str">
        <f t="shared" si="41"/>
        <v/>
      </c>
      <c r="M86" s="676" t="str">
        <f t="shared" si="41"/>
        <v/>
      </c>
      <c r="N86" s="676" t="str">
        <f t="shared" si="41"/>
        <v/>
      </c>
      <c r="O86" s="676">
        <f>+O9/(O17-O25)</f>
        <v>0.57248789346246975</v>
      </c>
      <c r="P86" s="676">
        <v>0.503</v>
      </c>
      <c r="Q86" s="676">
        <f>+Q9/(Q17-Q25)</f>
        <v>0.57783695206882424</v>
      </c>
      <c r="R86" s="676">
        <f>+R9/(R17-R25)</f>
        <v>0.57783695206882435</v>
      </c>
    </row>
    <row r="87" spans="1:18" x14ac:dyDescent="0.2">
      <c r="B87" s="588" t="s">
        <v>28</v>
      </c>
      <c r="C87" s="676">
        <f t="shared" ref="C87:N87" si="42">IF(C17=0,"",+C9/C17)</f>
        <v>0.56786542923433869</v>
      </c>
      <c r="D87" s="676">
        <f t="shared" si="42"/>
        <v>0.45924574209245744</v>
      </c>
      <c r="E87" s="676">
        <f t="shared" si="42"/>
        <v>0.60329861111111116</v>
      </c>
      <c r="F87" s="676">
        <f t="shared" si="42"/>
        <v>0.58700980392156865</v>
      </c>
      <c r="G87" s="676">
        <f t="shared" si="42"/>
        <v>0.64372346876895092</v>
      </c>
      <c r="H87" s="676">
        <f t="shared" si="42"/>
        <v>0.53829656862745101</v>
      </c>
      <c r="I87" s="676" t="str">
        <f t="shared" si="42"/>
        <v/>
      </c>
      <c r="J87" s="676" t="str">
        <f t="shared" si="42"/>
        <v/>
      </c>
      <c r="K87" s="676" t="str">
        <f t="shared" si="42"/>
        <v/>
      </c>
      <c r="L87" s="676" t="str">
        <f t="shared" si="42"/>
        <v/>
      </c>
      <c r="M87" s="676" t="str">
        <f t="shared" si="42"/>
        <v/>
      </c>
      <c r="N87" s="676" t="str">
        <f t="shared" si="42"/>
        <v/>
      </c>
      <c r="O87" s="676">
        <f>+O9/O17</f>
        <v>0.56693975422120091</v>
      </c>
      <c r="P87" s="676">
        <v>0.50390000000000001</v>
      </c>
      <c r="Q87" s="676">
        <f>+Q9/Q17</f>
        <v>0.57783695206882424</v>
      </c>
      <c r="R87" s="676">
        <f>+R9/R17</f>
        <v>0.57783695206882435</v>
      </c>
    </row>
    <row r="88" spans="1:18" ht="12" thickBot="1" x14ac:dyDescent="0.25">
      <c r="B88" s="588" t="s">
        <v>29</v>
      </c>
      <c r="C88" s="677">
        <f t="shared" ref="C88:N88" si="43">IF(C12=0,"",+C9/C12)</f>
        <v>0.70942028985507244</v>
      </c>
      <c r="D88" s="677">
        <f t="shared" si="43"/>
        <v>0.57545731707317072</v>
      </c>
      <c r="E88" s="677">
        <f t="shared" si="43"/>
        <v>0.75325144508670516</v>
      </c>
      <c r="F88" s="677">
        <f t="shared" si="43"/>
        <v>0.73466257668711654</v>
      </c>
      <c r="G88" s="677">
        <f t="shared" si="43"/>
        <v>0.80599848139711461</v>
      </c>
      <c r="H88" s="677">
        <f t="shared" si="43"/>
        <v>0.67369631901840488</v>
      </c>
      <c r="I88" s="677" t="str">
        <f t="shared" si="43"/>
        <v/>
      </c>
      <c r="J88" s="677" t="str">
        <f t="shared" si="43"/>
        <v/>
      </c>
      <c r="K88" s="677" t="str">
        <f t="shared" si="43"/>
        <v/>
      </c>
      <c r="L88" s="677" t="str">
        <f t="shared" si="43"/>
        <v/>
      </c>
      <c r="M88" s="677" t="str">
        <f t="shared" si="43"/>
        <v/>
      </c>
      <c r="N88" s="677" t="str">
        <f t="shared" si="43"/>
        <v/>
      </c>
      <c r="O88" s="677">
        <f>+O9/O12</f>
        <v>0.70922384701912256</v>
      </c>
      <c r="P88" s="677">
        <v>0.66710000000000003</v>
      </c>
      <c r="Q88" s="677">
        <f>+Q9/Q12</f>
        <v>0.74315068493150682</v>
      </c>
      <c r="R88" s="677">
        <f>+R9/R12</f>
        <v>0.74315068493150693</v>
      </c>
    </row>
    <row r="89" spans="1:18" ht="12" thickTop="1" x14ac:dyDescent="0.2">
      <c r="A89" s="678"/>
      <c r="B89" s="679"/>
      <c r="C89" s="680"/>
      <c r="D89" s="680"/>
      <c r="E89" s="680"/>
      <c r="F89" s="680"/>
      <c r="G89" s="680"/>
      <c r="H89" s="680"/>
      <c r="I89" s="680"/>
      <c r="J89" s="680"/>
      <c r="K89" s="680"/>
      <c r="L89" s="680"/>
      <c r="M89" s="680"/>
      <c r="N89" s="680"/>
      <c r="O89" s="680"/>
      <c r="P89" s="753"/>
      <c r="Q89" s="680"/>
      <c r="R89" s="680"/>
    </row>
    <row r="90" spans="1:18" x14ac:dyDescent="0.2">
      <c r="A90" s="562"/>
      <c r="Q90" s="697"/>
      <c r="R90" s="697"/>
    </row>
    <row r="91" spans="1:18" ht="12" thickBot="1" x14ac:dyDescent="0.25">
      <c r="B91" s="585" t="s">
        <v>30</v>
      </c>
      <c r="C91" s="615"/>
      <c r="D91" s="615"/>
      <c r="E91" s="615"/>
      <c r="F91" s="615"/>
      <c r="G91" s="615"/>
      <c r="H91" s="615"/>
      <c r="I91" s="615"/>
      <c r="J91" s="615"/>
      <c r="K91" s="615"/>
      <c r="L91" s="615"/>
      <c r="M91" s="615"/>
      <c r="N91" s="615"/>
      <c r="O91" s="615"/>
      <c r="P91" s="750"/>
      <c r="Q91" s="615"/>
      <c r="R91" s="615"/>
    </row>
    <row r="92" spans="1:18" ht="12" thickBot="1" x14ac:dyDescent="0.25">
      <c r="B92" s="592" t="s">
        <v>31</v>
      </c>
      <c r="C92" s="649">
        <f t="shared" ref="C92:N92" si="44">IF(C9="","",+C36/C9)</f>
        <v>112.19979570990809</v>
      </c>
      <c r="D92" s="649">
        <f t="shared" si="44"/>
        <v>79.4204105960265</v>
      </c>
      <c r="E92" s="649">
        <f t="shared" si="44"/>
        <v>116.7888009592326</v>
      </c>
      <c r="F92" s="649">
        <f t="shared" si="44"/>
        <v>82.114545929018789</v>
      </c>
      <c r="G92" s="649">
        <f t="shared" si="44"/>
        <v>39.379745642958071</v>
      </c>
      <c r="H92" s="649">
        <f t="shared" si="44"/>
        <v>48.586232214001143</v>
      </c>
      <c r="I92" s="649" t="str">
        <f t="shared" si="44"/>
        <v/>
      </c>
      <c r="J92" s="649" t="str">
        <f t="shared" si="44"/>
        <v/>
      </c>
      <c r="K92" s="649" t="str">
        <f t="shared" si="44"/>
        <v/>
      </c>
      <c r="L92" s="649" t="str">
        <f t="shared" si="44"/>
        <v/>
      </c>
      <c r="M92" s="649" t="str">
        <f t="shared" si="44"/>
        <v/>
      </c>
      <c r="N92" s="649" t="str">
        <f t="shared" si="44"/>
        <v/>
      </c>
      <c r="O92" s="649">
        <f>+O36/O9</f>
        <v>80.131936734514056</v>
      </c>
      <c r="P92" s="649">
        <f>+P36/P9</f>
        <v>67.422121792416689</v>
      </c>
      <c r="Q92" s="649">
        <f>+Q36/Q9</f>
        <v>102.46753716937626</v>
      </c>
      <c r="R92" s="649">
        <f>+R36/R9</f>
        <v>102.46753716937624</v>
      </c>
    </row>
    <row r="93" spans="1:18" x14ac:dyDescent="0.2">
      <c r="B93" s="588" t="s">
        <v>32</v>
      </c>
      <c r="C93" s="681">
        <f t="shared" ref="C93:N93" si="45">IF(C9="","",+C35/C9)</f>
        <v>32.54086312563841</v>
      </c>
      <c r="D93" s="681">
        <f t="shared" si="45"/>
        <v>33.296258278145693</v>
      </c>
      <c r="E93" s="681">
        <f t="shared" si="45"/>
        <v>31.686892086330936</v>
      </c>
      <c r="F93" s="681">
        <f t="shared" si="45"/>
        <v>30.706784968684758</v>
      </c>
      <c r="G93" s="681">
        <f t="shared" si="45"/>
        <v>31.635605275553463</v>
      </c>
      <c r="H93" s="681">
        <f t="shared" si="45"/>
        <v>30.490791121229368</v>
      </c>
      <c r="I93" s="681" t="str">
        <f t="shared" si="45"/>
        <v/>
      </c>
      <c r="J93" s="681" t="str">
        <f t="shared" si="45"/>
        <v/>
      </c>
      <c r="K93" s="681" t="str">
        <f t="shared" si="45"/>
        <v/>
      </c>
      <c r="L93" s="681" t="str">
        <f t="shared" si="45"/>
        <v/>
      </c>
      <c r="M93" s="681" t="str">
        <f t="shared" si="45"/>
        <v/>
      </c>
      <c r="N93" s="681" t="str">
        <f t="shared" si="45"/>
        <v/>
      </c>
      <c r="O93" s="681">
        <f>+O35/O9</f>
        <v>31.688117014714955</v>
      </c>
      <c r="P93" s="681">
        <f>+P35/P9</f>
        <v>35.897745116813482</v>
      </c>
      <c r="Q93" s="681">
        <f>+Q35/Q9</f>
        <v>26.865733250620348</v>
      </c>
      <c r="R93" s="681">
        <f>+R35/R9</f>
        <v>26.865733250620348</v>
      </c>
    </row>
    <row r="94" spans="1:18" ht="12" thickBot="1" x14ac:dyDescent="0.25">
      <c r="B94" s="592" t="s">
        <v>33</v>
      </c>
      <c r="C94" s="649">
        <f t="shared" ref="C94:N94" si="46">IF(C9="","",+C41/C9)</f>
        <v>42.747385086823293</v>
      </c>
      <c r="D94" s="649">
        <f t="shared" si="46"/>
        <v>70.793854304635758</v>
      </c>
      <c r="E94" s="649">
        <f t="shared" si="46"/>
        <v>39.021050359712227</v>
      </c>
      <c r="F94" s="649">
        <f t="shared" si="46"/>
        <v>48.483152400835074</v>
      </c>
      <c r="G94" s="649">
        <f t="shared" si="46"/>
        <v>33.264846914743288</v>
      </c>
      <c r="H94" s="649">
        <f t="shared" si="46"/>
        <v>51.228275469550368</v>
      </c>
      <c r="I94" s="649" t="str">
        <f t="shared" si="46"/>
        <v/>
      </c>
      <c r="J94" s="649" t="str">
        <f t="shared" si="46"/>
        <v/>
      </c>
      <c r="K94" s="649" t="str">
        <f t="shared" si="46"/>
        <v/>
      </c>
      <c r="L94" s="649" t="str">
        <f t="shared" si="46"/>
        <v/>
      </c>
      <c r="M94" s="649" t="str">
        <f t="shared" si="46"/>
        <v/>
      </c>
      <c r="N94" s="649" t="str">
        <f t="shared" si="46"/>
        <v/>
      </c>
      <c r="O94" s="649">
        <f>+O41/O9</f>
        <v>46.301882104150138</v>
      </c>
      <c r="P94" s="649">
        <f>+P41/P9</f>
        <v>64.34122654155496</v>
      </c>
      <c r="Q94" s="649">
        <f>+Q41/Q9</f>
        <v>59.09412801420229</v>
      </c>
      <c r="R94" s="649">
        <f>+R41/R9</f>
        <v>59.09412801420229</v>
      </c>
    </row>
    <row r="95" spans="1:18" ht="12" thickBot="1" x14ac:dyDescent="0.25">
      <c r="B95" s="592" t="s">
        <v>34</v>
      </c>
      <c r="C95" s="649">
        <f t="shared" ref="C95:N95" si="47">IF(C9="","",+C42/C9)</f>
        <v>75.28824821246171</v>
      </c>
      <c r="D95" s="649">
        <f t="shared" si="47"/>
        <v>104.09011258278146</v>
      </c>
      <c r="E95" s="649">
        <f t="shared" si="47"/>
        <v>70.707942446043162</v>
      </c>
      <c r="F95" s="649">
        <f t="shared" si="47"/>
        <v>79.189937369519825</v>
      </c>
      <c r="G95" s="649">
        <f t="shared" si="47"/>
        <v>64.900452190296747</v>
      </c>
      <c r="H95" s="649">
        <f t="shared" si="47"/>
        <v>81.719066590779732</v>
      </c>
      <c r="I95" s="649" t="str">
        <f t="shared" si="47"/>
        <v/>
      </c>
      <c r="J95" s="649" t="str">
        <f t="shared" si="47"/>
        <v/>
      </c>
      <c r="K95" s="649" t="str">
        <f t="shared" si="47"/>
        <v/>
      </c>
      <c r="L95" s="649" t="str">
        <f t="shared" si="47"/>
        <v/>
      </c>
      <c r="M95" s="649" t="str">
        <f t="shared" si="47"/>
        <v/>
      </c>
      <c r="N95" s="649" t="str">
        <f t="shared" si="47"/>
        <v/>
      </c>
      <c r="O95" s="649">
        <f>+O42/O9</f>
        <v>77.9899991188651</v>
      </c>
      <c r="P95" s="649">
        <f>+P42/P9</f>
        <v>100.23897165836844</v>
      </c>
      <c r="Q95" s="649">
        <f>+Q42/Q9</f>
        <v>85.959861264822635</v>
      </c>
      <c r="R95" s="649">
        <f>+R42/R9</f>
        <v>85.959861264822635</v>
      </c>
    </row>
    <row r="96" spans="1:18" ht="12" thickBot="1" x14ac:dyDescent="0.25">
      <c r="B96" s="629" t="s">
        <v>35</v>
      </c>
      <c r="C96" s="682">
        <f t="shared" ref="C96:N96" si="48">IF(C9="","",+C43/C9)</f>
        <v>36.911547497446385</v>
      </c>
      <c r="D96" s="682">
        <f t="shared" si="48"/>
        <v>-24.669701986754966</v>
      </c>
      <c r="E96" s="682">
        <f t="shared" si="48"/>
        <v>46.080858513189433</v>
      </c>
      <c r="F96" s="682">
        <f t="shared" si="48"/>
        <v>2.9246085594989655</v>
      </c>
      <c r="G96" s="682">
        <f t="shared" si="48"/>
        <v>-25.52070654733868</v>
      </c>
      <c r="H96" s="682">
        <f t="shared" si="48"/>
        <v>-33.13283437677859</v>
      </c>
      <c r="I96" s="682" t="str">
        <f t="shared" si="48"/>
        <v/>
      </c>
      <c r="J96" s="682" t="str">
        <f t="shared" si="48"/>
        <v/>
      </c>
      <c r="K96" s="682" t="str">
        <f t="shared" si="48"/>
        <v/>
      </c>
      <c r="L96" s="682" t="str">
        <f t="shared" si="48"/>
        <v/>
      </c>
      <c r="M96" s="682" t="str">
        <f t="shared" si="48"/>
        <v/>
      </c>
      <c r="N96" s="682" t="str">
        <f t="shared" si="48"/>
        <v/>
      </c>
      <c r="O96" s="682">
        <f>+O43/O9</f>
        <v>2.1419376156489562</v>
      </c>
      <c r="P96" s="682">
        <f>+P43/P9</f>
        <v>-32.81684986595176</v>
      </c>
      <c r="Q96" s="682">
        <f>+Q43/Q9</f>
        <v>16.507675904553597</v>
      </c>
      <c r="R96" s="682">
        <f>+R43/R9</f>
        <v>16.507675904553597</v>
      </c>
    </row>
    <row r="97" spans="1:18" ht="12" thickTop="1" x14ac:dyDescent="0.2">
      <c r="B97" s="662"/>
      <c r="C97" s="612"/>
      <c r="D97" s="612"/>
      <c r="E97" s="612"/>
      <c r="F97" s="612"/>
      <c r="G97" s="612"/>
      <c r="H97" s="612"/>
      <c r="I97" s="612"/>
      <c r="J97" s="612"/>
      <c r="K97" s="612"/>
      <c r="L97" s="612"/>
      <c r="M97" s="612"/>
      <c r="N97" s="612"/>
      <c r="O97" s="612"/>
      <c r="P97" s="647"/>
      <c r="Q97" s="612"/>
      <c r="R97" s="612"/>
    </row>
    <row r="98" spans="1:18" x14ac:dyDescent="0.2">
      <c r="B98" s="662"/>
      <c r="C98" s="612"/>
      <c r="D98" s="612"/>
      <c r="E98" s="612"/>
      <c r="F98" s="612"/>
      <c r="G98" s="612"/>
      <c r="H98" s="612"/>
      <c r="I98" s="612"/>
      <c r="J98" s="612"/>
      <c r="K98" s="612"/>
      <c r="L98" s="612"/>
      <c r="M98" s="612"/>
      <c r="N98" s="612"/>
      <c r="O98" s="612"/>
      <c r="P98" s="647"/>
      <c r="Q98" s="612"/>
      <c r="R98" s="612"/>
    </row>
    <row r="99" spans="1:18" ht="12" thickBot="1" x14ac:dyDescent="0.25">
      <c r="A99" s="648"/>
      <c r="B99" s="683" t="s">
        <v>120</v>
      </c>
      <c r="C99" s="615"/>
      <c r="D99" s="615"/>
      <c r="E99" s="615"/>
      <c r="F99" s="615"/>
      <c r="G99" s="615"/>
      <c r="H99" s="615"/>
      <c r="I99" s="615"/>
      <c r="J99" s="615"/>
      <c r="K99" s="615"/>
      <c r="L99" s="615"/>
      <c r="M99" s="615"/>
      <c r="N99" s="615"/>
      <c r="O99" s="615"/>
      <c r="P99" s="615"/>
      <c r="Q99" s="615"/>
      <c r="R99" s="615"/>
    </row>
    <row r="100" spans="1:18" x14ac:dyDescent="0.2">
      <c r="A100" s="606"/>
      <c r="B100" s="684" t="s">
        <v>49</v>
      </c>
      <c r="C100" s="632">
        <f t="shared" ref="C100:N100" si="49">+C35</f>
        <v>63715.01</v>
      </c>
      <c r="D100" s="632">
        <f t="shared" si="49"/>
        <v>50277.35</v>
      </c>
      <c r="E100" s="632">
        <f t="shared" si="49"/>
        <v>66067.17</v>
      </c>
      <c r="F100" s="632">
        <f t="shared" si="49"/>
        <v>58834.2</v>
      </c>
      <c r="G100" s="632">
        <f t="shared" si="49"/>
        <v>67162.39</v>
      </c>
      <c r="H100" s="632">
        <f t="shared" si="49"/>
        <v>53572.32</v>
      </c>
      <c r="I100" s="632">
        <f t="shared" si="49"/>
        <v>0</v>
      </c>
      <c r="J100" s="632">
        <f t="shared" si="49"/>
        <v>0</v>
      </c>
      <c r="K100" s="632">
        <f t="shared" si="49"/>
        <v>0</v>
      </c>
      <c r="L100" s="632">
        <f t="shared" si="49"/>
        <v>0</v>
      </c>
      <c r="M100" s="632">
        <f t="shared" si="49"/>
        <v>0</v>
      </c>
      <c r="N100" s="632">
        <f t="shared" si="49"/>
        <v>0</v>
      </c>
      <c r="O100" s="632">
        <f>SUM(C100:N100)</f>
        <v>359628.44</v>
      </c>
      <c r="P100" s="632">
        <f>+P35</f>
        <v>374916.05</v>
      </c>
      <c r="Q100" s="632">
        <f>+Q35</f>
        <v>606305.86800000002</v>
      </c>
      <c r="R100" s="632">
        <f>+R35</f>
        <v>50525.489000000001</v>
      </c>
    </row>
    <row r="101" spans="1:18" x14ac:dyDescent="0.2">
      <c r="A101" s="685"/>
      <c r="B101" s="686" t="s">
        <v>50</v>
      </c>
      <c r="C101" s="687">
        <f t="shared" ref="C101:N101" si="50">+C39</f>
        <v>28793.17</v>
      </c>
      <c r="D101" s="687">
        <f t="shared" si="50"/>
        <v>42230.83</v>
      </c>
      <c r="E101" s="687">
        <f t="shared" si="50"/>
        <v>22905.01</v>
      </c>
      <c r="F101" s="687">
        <f t="shared" si="50"/>
        <v>37243.68</v>
      </c>
      <c r="G101" s="687">
        <f t="shared" si="50"/>
        <v>23976.449999999997</v>
      </c>
      <c r="H101" s="687">
        <f t="shared" si="50"/>
        <v>37566.519999999997</v>
      </c>
      <c r="I101" s="687">
        <f t="shared" si="50"/>
        <v>0</v>
      </c>
      <c r="J101" s="687">
        <f t="shared" si="50"/>
        <v>0</v>
      </c>
      <c r="K101" s="687">
        <f t="shared" si="50"/>
        <v>0</v>
      </c>
      <c r="L101" s="687">
        <f t="shared" si="50"/>
        <v>0</v>
      </c>
      <c r="M101" s="687">
        <f t="shared" si="50"/>
        <v>0</v>
      </c>
      <c r="N101" s="687">
        <f t="shared" si="50"/>
        <v>0</v>
      </c>
      <c r="O101" s="687">
        <f>SUM(C101:N101)</f>
        <v>192715.66</v>
      </c>
      <c r="P101" s="687">
        <f>+P39</f>
        <v>261955.85</v>
      </c>
      <c r="Q101" s="687">
        <f>+Q39</f>
        <v>640634.17505769222</v>
      </c>
      <c r="R101" s="687">
        <f>+R39</f>
        <v>53386.181254807685</v>
      </c>
    </row>
    <row r="102" spans="1:18" ht="12" thickBot="1" x14ac:dyDescent="0.25">
      <c r="A102" s="688"/>
      <c r="B102" s="689" t="s">
        <v>121</v>
      </c>
      <c r="C102" s="690">
        <f t="shared" ref="C102:N102" si="51">+C101+C100</f>
        <v>92508.18</v>
      </c>
      <c r="D102" s="690">
        <f t="shared" si="51"/>
        <v>92508.18</v>
      </c>
      <c r="E102" s="690">
        <f t="shared" si="51"/>
        <v>88972.18</v>
      </c>
      <c r="F102" s="690">
        <f t="shared" si="51"/>
        <v>96077.88</v>
      </c>
      <c r="G102" s="690">
        <f t="shared" si="51"/>
        <v>91138.84</v>
      </c>
      <c r="H102" s="690">
        <f t="shared" si="51"/>
        <v>91138.84</v>
      </c>
      <c r="I102" s="690">
        <f t="shared" si="51"/>
        <v>0</v>
      </c>
      <c r="J102" s="690">
        <f t="shared" si="51"/>
        <v>0</v>
      </c>
      <c r="K102" s="690">
        <f t="shared" si="51"/>
        <v>0</v>
      </c>
      <c r="L102" s="690">
        <f t="shared" si="51"/>
        <v>0</v>
      </c>
      <c r="M102" s="690">
        <f t="shared" si="51"/>
        <v>0</v>
      </c>
      <c r="N102" s="690">
        <f t="shared" si="51"/>
        <v>0</v>
      </c>
      <c r="O102" s="690">
        <f>SUM(C102:N102)</f>
        <v>552344.1</v>
      </c>
      <c r="P102" s="690">
        <f>+P101+P100</f>
        <v>636871.9</v>
      </c>
      <c r="Q102" s="690">
        <f>+Q101+Q100</f>
        <v>1246940.0430576922</v>
      </c>
      <c r="R102" s="690">
        <f>+R101+R100</f>
        <v>103911.67025480769</v>
      </c>
    </row>
    <row r="103" spans="1:18" ht="12" thickTop="1" x14ac:dyDescent="0.2">
      <c r="B103" s="662"/>
      <c r="C103" s="612"/>
      <c r="D103" s="612"/>
      <c r="E103" s="612"/>
      <c r="F103" s="612"/>
      <c r="G103" s="612"/>
      <c r="H103" s="612"/>
      <c r="I103" s="612"/>
      <c r="J103" s="612"/>
      <c r="K103" s="612"/>
      <c r="L103" s="612"/>
      <c r="M103" s="612"/>
      <c r="N103" s="612"/>
      <c r="O103" s="612"/>
      <c r="P103" s="612"/>
      <c r="Q103" s="612"/>
      <c r="R103" s="612"/>
    </row>
    <row r="104" spans="1:18" ht="12" thickBot="1" x14ac:dyDescent="0.25">
      <c r="B104" s="691" t="s">
        <v>47</v>
      </c>
      <c r="C104" s="309">
        <f t="shared" ref="C104:N104" si="52">IF(C106=0,0,+C105/C106)</f>
        <v>0.42109044131838347</v>
      </c>
      <c r="D104" s="309">
        <f t="shared" si="52"/>
        <v>0.7713847725600087</v>
      </c>
      <c r="E104" s="309">
        <f t="shared" si="52"/>
        <v>0.36538185205087459</v>
      </c>
      <c r="F104" s="309">
        <f t="shared" si="52"/>
        <v>0.61067172384520407</v>
      </c>
      <c r="G104" s="309">
        <f t="shared" si="52"/>
        <v>1.0901357842762001</v>
      </c>
      <c r="H104" s="309">
        <f t="shared" si="52"/>
        <v>1.0676244561506387</v>
      </c>
      <c r="I104" s="309">
        <f t="shared" si="52"/>
        <v>0</v>
      </c>
      <c r="J104" s="309">
        <f t="shared" si="52"/>
        <v>0</v>
      </c>
      <c r="K104" s="309">
        <f t="shared" si="52"/>
        <v>0</v>
      </c>
      <c r="L104" s="309">
        <f t="shared" si="52"/>
        <v>0</v>
      </c>
      <c r="M104" s="309">
        <f t="shared" si="52"/>
        <v>0</v>
      </c>
      <c r="N104" s="309">
        <f t="shared" si="52"/>
        <v>0</v>
      </c>
      <c r="O104" s="309">
        <f>+O105/O106</f>
        <v>0.60736041598502588</v>
      </c>
      <c r="P104" s="309">
        <f>+P105/P106</f>
        <v>0.9044463459153067</v>
      </c>
      <c r="Q104" s="309">
        <f>+Q105/Q106</f>
        <v>0.53922025887293945</v>
      </c>
      <c r="R104" s="309">
        <f>+R105/R106</f>
        <v>0.53922025887293956</v>
      </c>
    </row>
    <row r="105" spans="1:18" x14ac:dyDescent="0.2">
      <c r="B105" s="636" t="s">
        <v>45</v>
      </c>
      <c r="C105" s="612">
        <f t="shared" ref="C105:R105" si="53">+C102</f>
        <v>92508.18</v>
      </c>
      <c r="D105" s="612">
        <f t="shared" si="53"/>
        <v>92508.18</v>
      </c>
      <c r="E105" s="612">
        <f t="shared" si="53"/>
        <v>88972.18</v>
      </c>
      <c r="F105" s="612">
        <f t="shared" si="53"/>
        <v>96077.88</v>
      </c>
      <c r="G105" s="612">
        <f t="shared" si="53"/>
        <v>91138.84</v>
      </c>
      <c r="H105" s="612">
        <f t="shared" si="53"/>
        <v>91138.84</v>
      </c>
      <c r="I105" s="612">
        <f t="shared" si="53"/>
        <v>0</v>
      </c>
      <c r="J105" s="612">
        <f t="shared" si="53"/>
        <v>0</v>
      </c>
      <c r="K105" s="612">
        <f t="shared" si="53"/>
        <v>0</v>
      </c>
      <c r="L105" s="612">
        <f t="shared" si="53"/>
        <v>0</v>
      </c>
      <c r="M105" s="612">
        <f t="shared" si="53"/>
        <v>0</v>
      </c>
      <c r="N105" s="612">
        <f t="shared" si="53"/>
        <v>0</v>
      </c>
      <c r="O105" s="612">
        <f t="shared" si="53"/>
        <v>552344.1</v>
      </c>
      <c r="P105" s="612">
        <f t="shared" si="53"/>
        <v>636871.9</v>
      </c>
      <c r="Q105" s="612">
        <f t="shared" si="53"/>
        <v>1246940.0430576922</v>
      </c>
      <c r="R105" s="612">
        <f t="shared" si="53"/>
        <v>103911.67025480769</v>
      </c>
    </row>
    <row r="106" spans="1:18" ht="12" thickBot="1" x14ac:dyDescent="0.25">
      <c r="B106" s="651" t="s">
        <v>31</v>
      </c>
      <c r="C106" s="692">
        <f t="shared" ref="C106:R106" si="54">+C36</f>
        <v>219687.20000000004</v>
      </c>
      <c r="D106" s="692">
        <f t="shared" si="54"/>
        <v>119924.82</v>
      </c>
      <c r="E106" s="692">
        <f t="shared" si="54"/>
        <v>243504.64999999997</v>
      </c>
      <c r="F106" s="692">
        <f t="shared" si="54"/>
        <v>157331.47</v>
      </c>
      <c r="G106" s="692">
        <f t="shared" si="54"/>
        <v>83603.199999999983</v>
      </c>
      <c r="H106" s="692">
        <f t="shared" si="54"/>
        <v>85366.010000000009</v>
      </c>
      <c r="I106" s="692">
        <f t="shared" si="54"/>
        <v>0</v>
      </c>
      <c r="J106" s="692">
        <f t="shared" si="54"/>
        <v>0</v>
      </c>
      <c r="K106" s="692">
        <f t="shared" si="54"/>
        <v>0</v>
      </c>
      <c r="L106" s="692">
        <f t="shared" si="54"/>
        <v>0</v>
      </c>
      <c r="M106" s="692">
        <f t="shared" si="54"/>
        <v>0</v>
      </c>
      <c r="N106" s="692">
        <f t="shared" si="54"/>
        <v>0</v>
      </c>
      <c r="O106" s="692">
        <f t="shared" si="54"/>
        <v>909417.35000000009</v>
      </c>
      <c r="P106" s="692">
        <f t="shared" si="54"/>
        <v>704156.6399999999</v>
      </c>
      <c r="Q106" s="692">
        <f t="shared" si="54"/>
        <v>2312487.3788384832</v>
      </c>
      <c r="R106" s="692">
        <f t="shared" si="54"/>
        <v>192707.28156987359</v>
      </c>
    </row>
    <row r="107" spans="1:18" ht="12" thickTop="1" x14ac:dyDescent="0.2">
      <c r="A107" s="678"/>
      <c r="B107" s="679"/>
      <c r="C107" s="612"/>
      <c r="D107" s="612"/>
      <c r="E107" s="612"/>
      <c r="F107" s="612"/>
      <c r="G107" s="612"/>
      <c r="H107" s="612"/>
      <c r="I107" s="612"/>
      <c r="J107" s="612"/>
      <c r="K107" s="612"/>
      <c r="L107" s="612"/>
      <c r="M107" s="612"/>
      <c r="N107" s="612"/>
      <c r="O107" s="612"/>
      <c r="P107" s="612"/>
      <c r="Q107" s="612"/>
      <c r="R107" s="612"/>
    </row>
    <row r="108" spans="1:18" ht="12" thickBot="1" x14ac:dyDescent="0.25">
      <c r="A108" s="584"/>
      <c r="B108" s="585" t="s">
        <v>36</v>
      </c>
      <c r="C108" s="615"/>
      <c r="D108" s="615"/>
      <c r="E108" s="615"/>
      <c r="F108" s="615"/>
      <c r="G108" s="615"/>
      <c r="H108" s="615"/>
      <c r="I108" s="615"/>
      <c r="J108" s="615"/>
      <c r="K108" s="615"/>
      <c r="L108" s="615"/>
      <c r="M108" s="615"/>
      <c r="N108" s="615"/>
      <c r="O108" s="615"/>
      <c r="P108" s="615"/>
      <c r="Q108" s="615"/>
      <c r="R108" s="615"/>
    </row>
    <row r="109" spans="1:18" ht="12" thickBot="1" x14ac:dyDescent="0.25">
      <c r="A109" s="584"/>
      <c r="B109" s="592" t="s">
        <v>31</v>
      </c>
      <c r="C109" s="649">
        <f t="shared" ref="C109:N109" si="55">IF(C35="","",+C36/C35)</f>
        <v>3.4479661856758721</v>
      </c>
      <c r="D109" s="649">
        <f t="shared" si="55"/>
        <v>2.3852653331967577</v>
      </c>
      <c r="E109" s="649">
        <f t="shared" si="55"/>
        <v>3.6857133429508178</v>
      </c>
      <c r="F109" s="649">
        <f t="shared" si="55"/>
        <v>2.6741498992082837</v>
      </c>
      <c r="G109" s="649">
        <f t="shared" si="55"/>
        <v>1.2447919140459411</v>
      </c>
      <c r="H109" s="649">
        <f t="shared" si="55"/>
        <v>1.59347233795363</v>
      </c>
      <c r="I109" s="649" t="str">
        <f t="shared" si="55"/>
        <v/>
      </c>
      <c r="J109" s="649" t="str">
        <f t="shared" si="55"/>
        <v/>
      </c>
      <c r="K109" s="649" t="str">
        <f t="shared" si="55"/>
        <v/>
      </c>
      <c r="L109" s="649" t="str">
        <f t="shared" si="55"/>
        <v/>
      </c>
      <c r="M109" s="649" t="str">
        <f t="shared" si="55"/>
        <v/>
      </c>
      <c r="N109" s="649" t="str">
        <f t="shared" si="55"/>
        <v/>
      </c>
      <c r="O109" s="649">
        <f>+O36/O35</f>
        <v>2.5287692764231884</v>
      </c>
      <c r="P109" s="649">
        <f>+P36/P35</f>
        <v>1.8781714999931316</v>
      </c>
      <c r="Q109" s="649">
        <f>+Q36/Q35</f>
        <v>3.8140606926114775</v>
      </c>
      <c r="R109" s="649">
        <f>+R36/R35</f>
        <v>3.8140606926114775</v>
      </c>
    </row>
    <row r="110" spans="1:18" x14ac:dyDescent="0.2">
      <c r="B110" s="588" t="s">
        <v>37</v>
      </c>
      <c r="C110" s="681">
        <f t="shared" ref="C110:N110" si="56">IF(C35="","",+C35/C35)</f>
        <v>1</v>
      </c>
      <c r="D110" s="681">
        <f t="shared" si="56"/>
        <v>1</v>
      </c>
      <c r="E110" s="681">
        <f t="shared" si="56"/>
        <v>1</v>
      </c>
      <c r="F110" s="681">
        <f t="shared" si="56"/>
        <v>1</v>
      </c>
      <c r="G110" s="681">
        <f t="shared" si="56"/>
        <v>1</v>
      </c>
      <c r="H110" s="681">
        <f t="shared" si="56"/>
        <v>1</v>
      </c>
      <c r="I110" s="681" t="str">
        <f t="shared" si="56"/>
        <v/>
      </c>
      <c r="J110" s="681" t="str">
        <f t="shared" si="56"/>
        <v/>
      </c>
      <c r="K110" s="681" t="str">
        <f t="shared" si="56"/>
        <v/>
      </c>
      <c r="L110" s="681" t="str">
        <f t="shared" si="56"/>
        <v/>
      </c>
      <c r="M110" s="681" t="str">
        <f t="shared" si="56"/>
        <v/>
      </c>
      <c r="N110" s="681" t="str">
        <f t="shared" si="56"/>
        <v/>
      </c>
      <c r="O110" s="681">
        <f>+O35/O35</f>
        <v>1</v>
      </c>
      <c r="P110" s="681">
        <f>+P35/P35</f>
        <v>1</v>
      </c>
      <c r="Q110" s="681">
        <f>+Q35/Q35</f>
        <v>1</v>
      </c>
      <c r="R110" s="681">
        <f>+R35/R35</f>
        <v>1</v>
      </c>
    </row>
    <row r="111" spans="1:18" ht="12" thickBot="1" x14ac:dyDescent="0.25">
      <c r="A111" s="584"/>
      <c r="B111" s="592" t="s">
        <v>38</v>
      </c>
      <c r="C111" s="649">
        <f t="shared" ref="C111:N111" si="57">IF(C35="","",+C41/C35)</f>
        <v>1.3136524658789193</v>
      </c>
      <c r="D111" s="649">
        <f t="shared" si="57"/>
        <v>2.1261804768946653</v>
      </c>
      <c r="E111" s="649">
        <f t="shared" si="57"/>
        <v>1.2314571670014018</v>
      </c>
      <c r="F111" s="649">
        <f t="shared" si="57"/>
        <v>1.578906826301709</v>
      </c>
      <c r="G111" s="649">
        <f t="shared" si="57"/>
        <v>1.0515002518522645</v>
      </c>
      <c r="H111" s="649">
        <f t="shared" si="57"/>
        <v>1.6801228694221195</v>
      </c>
      <c r="I111" s="649" t="str">
        <f t="shared" si="57"/>
        <v/>
      </c>
      <c r="J111" s="649" t="str">
        <f t="shared" si="57"/>
        <v/>
      </c>
      <c r="K111" s="649" t="str">
        <f t="shared" si="57"/>
        <v/>
      </c>
      <c r="L111" s="649" t="str">
        <f t="shared" si="57"/>
        <v/>
      </c>
      <c r="M111" s="649" t="str">
        <f t="shared" si="57"/>
        <v/>
      </c>
      <c r="N111" s="649" t="str">
        <f t="shared" si="57"/>
        <v/>
      </c>
      <c r="O111" s="649">
        <f>+O41/O35</f>
        <v>1.4611749282120177</v>
      </c>
      <c r="P111" s="649">
        <f>+P41/P35</f>
        <v>1.7923473001489267</v>
      </c>
      <c r="Q111" s="649">
        <f>+Q41/Q35</f>
        <v>2.1996097207895029</v>
      </c>
      <c r="R111" s="649">
        <f>+R41/R35</f>
        <v>2.1996097207895029</v>
      </c>
    </row>
    <row r="112" spans="1:18" ht="12" thickBot="1" x14ac:dyDescent="0.25">
      <c r="A112" s="584"/>
      <c r="B112" s="592" t="s">
        <v>34</v>
      </c>
      <c r="C112" s="649">
        <f t="shared" ref="C112:N112" si="58">IF(C35="","",+C42/C35)</f>
        <v>2.3136524658789193</v>
      </c>
      <c r="D112" s="649">
        <f t="shared" si="58"/>
        <v>3.1261804768946657</v>
      </c>
      <c r="E112" s="649">
        <f t="shared" si="58"/>
        <v>2.2314571670014018</v>
      </c>
      <c r="F112" s="649">
        <f t="shared" si="58"/>
        <v>2.5789068263017088</v>
      </c>
      <c r="G112" s="649">
        <f t="shared" si="58"/>
        <v>2.0515002518522643</v>
      </c>
      <c r="H112" s="649">
        <f t="shared" si="58"/>
        <v>2.6801228694221195</v>
      </c>
      <c r="I112" s="649" t="str">
        <f t="shared" si="58"/>
        <v/>
      </c>
      <c r="J112" s="649" t="str">
        <f t="shared" si="58"/>
        <v/>
      </c>
      <c r="K112" s="649" t="str">
        <f t="shared" si="58"/>
        <v/>
      </c>
      <c r="L112" s="649" t="str">
        <f t="shared" si="58"/>
        <v/>
      </c>
      <c r="M112" s="649" t="str">
        <f t="shared" si="58"/>
        <v/>
      </c>
      <c r="N112" s="649" t="str">
        <f t="shared" si="58"/>
        <v/>
      </c>
      <c r="O112" s="649">
        <f>+O42/O35</f>
        <v>2.4611749282120181</v>
      </c>
      <c r="P112" s="649">
        <f>+P42/P35</f>
        <v>2.792347300148927</v>
      </c>
      <c r="Q112" s="649">
        <f>+Q42/Q35</f>
        <v>3.1996097207895029</v>
      </c>
      <c r="R112" s="649">
        <f>+R42/R35</f>
        <v>3.1996097207895029</v>
      </c>
    </row>
    <row r="113" spans="1:18" ht="12" thickBot="1" x14ac:dyDescent="0.25">
      <c r="A113" s="667"/>
      <c r="B113" s="629" t="s">
        <v>35</v>
      </c>
      <c r="C113" s="682">
        <f t="shared" ref="C113:N113" si="59">IF(C35="","",+C43/C35)</f>
        <v>1.1343137197969524</v>
      </c>
      <c r="D113" s="682">
        <f t="shared" si="59"/>
        <v>-0.74091514369790767</v>
      </c>
      <c r="E113" s="682">
        <f t="shared" si="59"/>
        <v>1.4542561759494159</v>
      </c>
      <c r="F113" s="682">
        <f t="shared" si="59"/>
        <v>9.5243072906575049E-2</v>
      </c>
      <c r="G113" s="682">
        <f t="shared" si="59"/>
        <v>-0.80670833780632323</v>
      </c>
      <c r="H113" s="682">
        <f t="shared" si="59"/>
        <v>-1.0866505314684893</v>
      </c>
      <c r="I113" s="682" t="str">
        <f t="shared" si="59"/>
        <v/>
      </c>
      <c r="J113" s="682" t="str">
        <f t="shared" si="59"/>
        <v/>
      </c>
      <c r="K113" s="682" t="str">
        <f t="shared" si="59"/>
        <v/>
      </c>
      <c r="L113" s="682" t="str">
        <f t="shared" si="59"/>
        <v/>
      </c>
      <c r="M113" s="682" t="str">
        <f t="shared" si="59"/>
        <v/>
      </c>
      <c r="N113" s="682" t="str">
        <f t="shared" si="59"/>
        <v/>
      </c>
      <c r="O113" s="682">
        <f>+O43/O35</f>
        <v>6.7594348211170413E-2</v>
      </c>
      <c r="P113" s="682">
        <f>+P43/P35</f>
        <v>-0.91417580015579536</v>
      </c>
      <c r="Q113" s="682">
        <f>+Q43/Q35</f>
        <v>0.61445097182197417</v>
      </c>
      <c r="R113" s="682">
        <f>+R43/R35</f>
        <v>0.61445097182197417</v>
      </c>
    </row>
    <row r="114" spans="1:18" ht="12" thickTop="1" x14ac:dyDescent="0.2">
      <c r="B114" s="662"/>
      <c r="C114" s="612"/>
      <c r="D114" s="612"/>
      <c r="E114" s="612"/>
      <c r="F114" s="612"/>
      <c r="G114" s="612"/>
      <c r="H114" s="612"/>
      <c r="I114" s="612"/>
      <c r="J114" s="612"/>
      <c r="K114" s="612"/>
      <c r="L114" s="612"/>
      <c r="M114" s="612"/>
      <c r="N114" s="612"/>
      <c r="O114" s="612"/>
      <c r="P114" s="612"/>
      <c r="Q114" s="612"/>
      <c r="R114" s="612"/>
    </row>
    <row r="115" spans="1:18" ht="12" thickBot="1" x14ac:dyDescent="0.25">
      <c r="A115" s="584"/>
      <c r="B115" s="585" t="s">
        <v>40</v>
      </c>
      <c r="C115" s="615"/>
      <c r="D115" s="615"/>
      <c r="E115" s="615"/>
      <c r="F115" s="615"/>
      <c r="G115" s="615"/>
      <c r="H115" s="615"/>
      <c r="I115" s="615"/>
      <c r="J115" s="615"/>
      <c r="K115" s="615"/>
      <c r="L115" s="615"/>
      <c r="M115" s="615"/>
      <c r="N115" s="615"/>
      <c r="O115" s="615"/>
      <c r="P115" s="615"/>
      <c r="Q115" s="615"/>
      <c r="R115" s="615"/>
    </row>
    <row r="116" spans="1:18" x14ac:dyDescent="0.2">
      <c r="B116" s="693" t="s">
        <v>122</v>
      </c>
      <c r="C116" s="607">
        <f t="shared" ref="C116:N116" si="60">IF(C73=0,0,+C36/C73)</f>
        <v>11213.731786542927</v>
      </c>
      <c r="D116" s="607">
        <f t="shared" si="60"/>
        <v>6419.333430656935</v>
      </c>
      <c r="E116" s="607">
        <f t="shared" si="60"/>
        <v>12400.699768518516</v>
      </c>
      <c r="F116" s="607">
        <f t="shared" si="60"/>
        <v>8097.9433088235301</v>
      </c>
      <c r="G116" s="607">
        <f t="shared" si="60"/>
        <v>4461.5412977562146</v>
      </c>
      <c r="H116" s="607">
        <f t="shared" si="60"/>
        <v>4393.8387500000008</v>
      </c>
      <c r="I116" s="607">
        <f t="shared" si="60"/>
        <v>0</v>
      </c>
      <c r="J116" s="607">
        <f t="shared" si="60"/>
        <v>0</v>
      </c>
      <c r="K116" s="607">
        <f t="shared" si="60"/>
        <v>0</v>
      </c>
      <c r="L116" s="607">
        <f t="shared" si="60"/>
        <v>0</v>
      </c>
      <c r="M116" s="607">
        <f t="shared" si="60"/>
        <v>0</v>
      </c>
      <c r="N116" s="607">
        <f t="shared" si="60"/>
        <v>0</v>
      </c>
      <c r="O116" s="607">
        <f>+O36/O73</f>
        <v>47247.179738235594</v>
      </c>
      <c r="P116" s="607">
        <f>+P36/P73</f>
        <v>36623.469973994797</v>
      </c>
      <c r="Q116" s="607">
        <f>+Q36/Q73</f>
        <v>124103.17354684198</v>
      </c>
      <c r="R116" s="607">
        <f>+R36/R73</f>
        <v>10341.931128903499</v>
      </c>
    </row>
    <row r="117" spans="1:18" ht="12" thickBot="1" x14ac:dyDescent="0.25">
      <c r="A117" s="667"/>
      <c r="B117" s="693" t="s">
        <v>123</v>
      </c>
      <c r="C117" s="605">
        <f t="shared" ref="C117:N117" si="61">IF(C36=0,0,+C36/C69)</f>
        <v>14009.038840579713</v>
      </c>
      <c r="D117" s="605">
        <f t="shared" si="61"/>
        <v>8043.7379268292689</v>
      </c>
      <c r="E117" s="605">
        <f t="shared" si="61"/>
        <v>15482.954624277456</v>
      </c>
      <c r="F117" s="605">
        <f t="shared" si="61"/>
        <v>10134.849294478528</v>
      </c>
      <c r="G117" s="605">
        <f t="shared" si="61"/>
        <v>5586.2426727410766</v>
      </c>
      <c r="H117" s="605">
        <f t="shared" si="61"/>
        <v>5499.0374539877303</v>
      </c>
      <c r="I117" s="605">
        <f t="shared" si="61"/>
        <v>0</v>
      </c>
      <c r="J117" s="605">
        <f t="shared" si="61"/>
        <v>0</v>
      </c>
      <c r="K117" s="605">
        <f t="shared" si="61"/>
        <v>0</v>
      </c>
      <c r="L117" s="605">
        <f t="shared" si="61"/>
        <v>0</v>
      </c>
      <c r="M117" s="605">
        <f t="shared" si="61"/>
        <v>0</v>
      </c>
      <c r="N117" s="605">
        <f t="shared" si="61"/>
        <v>0</v>
      </c>
      <c r="O117" s="605">
        <f>+O36/O69</f>
        <v>59104.739657542807</v>
      </c>
      <c r="P117" s="605">
        <f>+P36/P69</f>
        <v>45827.465932415515</v>
      </c>
      <c r="Q117" s="605">
        <f>+Q36/Q69</f>
        <v>159607.92762267718</v>
      </c>
      <c r="R117" s="605">
        <f>+R36/R69</f>
        <v>13300.660635223099</v>
      </c>
    </row>
    <row r="118" spans="1:18" ht="12" thickTop="1" x14ac:dyDescent="0.2">
      <c r="B118" s="679"/>
      <c r="C118" s="607"/>
      <c r="D118" s="607"/>
      <c r="E118" s="607"/>
      <c r="F118" s="607"/>
      <c r="G118" s="607"/>
      <c r="H118" s="607"/>
      <c r="I118" s="607"/>
      <c r="J118" s="607"/>
      <c r="K118" s="607"/>
      <c r="L118" s="607"/>
      <c r="M118" s="607"/>
      <c r="N118" s="607"/>
      <c r="O118" s="607"/>
      <c r="P118" s="607"/>
      <c r="Q118" s="607"/>
      <c r="R118" s="607"/>
    </row>
    <row r="119" spans="1:18" ht="12" thickBot="1" x14ac:dyDescent="0.25">
      <c r="A119" s="584"/>
      <c r="B119" s="694" t="s">
        <v>41</v>
      </c>
      <c r="C119" s="595"/>
      <c r="D119" s="595"/>
      <c r="E119" s="595"/>
      <c r="F119" s="595"/>
      <c r="G119" s="595"/>
      <c r="H119" s="595"/>
      <c r="I119" s="595"/>
      <c r="J119" s="595"/>
      <c r="K119" s="595"/>
      <c r="L119" s="595"/>
      <c r="M119" s="595"/>
      <c r="N119" s="595"/>
      <c r="O119" s="595"/>
      <c r="P119" s="595"/>
      <c r="Q119" s="595"/>
      <c r="R119" s="595"/>
    </row>
    <row r="120" spans="1:18" x14ac:dyDescent="0.2">
      <c r="B120" s="693" t="s">
        <v>124</v>
      </c>
      <c r="C120" s="607">
        <f t="shared" ref="C120:N120" si="62">IF(C73=0,0,+C43/C73)</f>
        <v>3689.0993503480295</v>
      </c>
      <c r="D120" s="607">
        <f t="shared" si="62"/>
        <v>-1993.984184914842</v>
      </c>
      <c r="E120" s="607">
        <f t="shared" si="62"/>
        <v>4892.8911574074054</v>
      </c>
      <c r="F120" s="607">
        <f t="shared" si="62"/>
        <v>288.41801470588325</v>
      </c>
      <c r="G120" s="607">
        <f t="shared" si="62"/>
        <v>-2891.3768829593705</v>
      </c>
      <c r="H120" s="607">
        <f t="shared" si="62"/>
        <v>-2996.3288970588228</v>
      </c>
      <c r="I120" s="607">
        <f t="shared" si="62"/>
        <v>0</v>
      </c>
      <c r="J120" s="607">
        <f t="shared" si="62"/>
        <v>0</v>
      </c>
      <c r="K120" s="607">
        <f t="shared" si="62"/>
        <v>0</v>
      </c>
      <c r="L120" s="607">
        <f t="shared" si="62"/>
        <v>0</v>
      </c>
      <c r="M120" s="607">
        <f t="shared" si="62"/>
        <v>0</v>
      </c>
      <c r="N120" s="607">
        <f t="shared" si="62"/>
        <v>0</v>
      </c>
      <c r="O120" s="607">
        <f>+O43/O73</f>
        <v>1262.923568788091</v>
      </c>
      <c r="P120" s="607">
        <f>+P43/P73</f>
        <v>-17826.002560512112</v>
      </c>
      <c r="Q120" s="607">
        <f>+Q43/Q73</f>
        <v>19993.209793375459</v>
      </c>
      <c r="R120" s="607">
        <f>+R43/R73</f>
        <v>1666.1008161146219</v>
      </c>
    </row>
    <row r="121" spans="1:18" ht="12" thickBot="1" x14ac:dyDescent="0.25">
      <c r="A121" s="667"/>
      <c r="B121" s="693" t="s">
        <v>125</v>
      </c>
      <c r="C121" s="605">
        <f t="shared" ref="C121:N121" si="63">IF(C43=0,0,+C43/C69)</f>
        <v>4608.7009275362334</v>
      </c>
      <c r="D121" s="605">
        <f t="shared" si="63"/>
        <v>-2498.5594512195125</v>
      </c>
      <c r="E121" s="605">
        <f t="shared" si="63"/>
        <v>6109.043294797686</v>
      </c>
      <c r="F121" s="605">
        <f t="shared" si="63"/>
        <v>360.9648773006146</v>
      </c>
      <c r="G121" s="605">
        <f t="shared" si="63"/>
        <v>-3620.2585269552023</v>
      </c>
      <c r="H121" s="605">
        <f t="shared" si="63"/>
        <v>-3750.0067177914102</v>
      </c>
      <c r="I121" s="605">
        <f t="shared" si="63"/>
        <v>0</v>
      </c>
      <c r="J121" s="605">
        <f t="shared" si="63"/>
        <v>0</v>
      </c>
      <c r="K121" s="605">
        <f t="shared" si="63"/>
        <v>0</v>
      </c>
      <c r="L121" s="605">
        <f t="shared" si="63"/>
        <v>0</v>
      </c>
      <c r="M121" s="605">
        <f t="shared" si="63"/>
        <v>0</v>
      </c>
      <c r="N121" s="605">
        <f t="shared" si="63"/>
        <v>0</v>
      </c>
      <c r="O121" s="605">
        <f>+O43/O69</f>
        <v>1579.8777652793403</v>
      </c>
      <c r="P121" s="605">
        <f>+P43/P69</f>
        <v>-22305.929111389247</v>
      </c>
      <c r="Q121" s="605">
        <f>+Q43/Q69</f>
        <v>25713.079613081925</v>
      </c>
      <c r="R121" s="605">
        <f>+R43/R69</f>
        <v>2142.7566344234938</v>
      </c>
    </row>
    <row r="122" spans="1:18" ht="12" thickTop="1" x14ac:dyDescent="0.2">
      <c r="B122" s="679"/>
      <c r="C122" s="612"/>
      <c r="D122" s="612"/>
      <c r="E122" s="612"/>
      <c r="F122" s="612"/>
      <c r="G122" s="612"/>
      <c r="H122" s="612"/>
      <c r="I122" s="612"/>
      <c r="J122" s="612"/>
      <c r="K122" s="612"/>
      <c r="L122" s="612"/>
      <c r="M122" s="612"/>
      <c r="N122" s="612"/>
      <c r="O122" s="612"/>
      <c r="P122" s="754"/>
      <c r="Q122" s="612"/>
      <c r="R122" s="612"/>
    </row>
    <row r="123" spans="1:18" x14ac:dyDescent="0.2">
      <c r="A123" s="573"/>
      <c r="B123" s="662"/>
      <c r="C123" s="612"/>
      <c r="D123" s="612"/>
      <c r="E123" s="612"/>
      <c r="F123" s="612"/>
      <c r="G123" s="612"/>
      <c r="H123" s="612"/>
      <c r="I123" s="612"/>
      <c r="J123" s="612"/>
      <c r="K123" s="612"/>
      <c r="L123" s="612"/>
      <c r="M123" s="612"/>
      <c r="N123" s="612"/>
      <c r="O123" s="612"/>
      <c r="P123" s="647"/>
      <c r="Q123" s="612"/>
      <c r="R123" s="612"/>
    </row>
    <row r="124" spans="1:18" ht="12" thickBot="1" x14ac:dyDescent="0.25">
      <c r="A124" s="691"/>
      <c r="B124" s="585" t="s">
        <v>42</v>
      </c>
      <c r="C124" s="649">
        <f t="shared" ref="C124:N124" si="64">IF(C126=0,0,+C125*C126)</f>
        <v>2.3747867485880718</v>
      </c>
      <c r="D124" s="649">
        <f t="shared" si="64"/>
        <v>1.2963698993970048</v>
      </c>
      <c r="E124" s="649">
        <f t="shared" si="64"/>
        <v>2.7368628036314271</v>
      </c>
      <c r="F124" s="649">
        <f t="shared" si="64"/>
        <v>1.6375410240109376</v>
      </c>
      <c r="G124" s="649">
        <f t="shared" si="64"/>
        <v>0.9173169199871315</v>
      </c>
      <c r="H124" s="649">
        <f t="shared" si="64"/>
        <v>0.93665894804015515</v>
      </c>
      <c r="I124" s="649">
        <f t="shared" si="64"/>
        <v>0</v>
      </c>
      <c r="J124" s="649">
        <f t="shared" si="64"/>
        <v>0</v>
      </c>
      <c r="K124" s="649">
        <f t="shared" si="64"/>
        <v>0</v>
      </c>
      <c r="L124" s="649">
        <f t="shared" si="64"/>
        <v>0</v>
      </c>
      <c r="M124" s="649">
        <f t="shared" si="64"/>
        <v>0</v>
      </c>
      <c r="N124" s="649">
        <f t="shared" si="64"/>
        <v>0</v>
      </c>
      <c r="O124" s="649">
        <f>+O125*O126</f>
        <v>1.646468840709985</v>
      </c>
      <c r="P124" s="649">
        <f>+P125*P126</f>
        <v>1.1056487811756177</v>
      </c>
      <c r="Q124" s="649">
        <f>+Q125*Q126</f>
        <v>1.8545297279634247</v>
      </c>
      <c r="R124" s="649">
        <f>+R125*R126</f>
        <v>1.8545297279634247</v>
      </c>
    </row>
    <row r="125" spans="1:18" x14ac:dyDescent="0.2">
      <c r="B125" s="588" t="s">
        <v>43</v>
      </c>
      <c r="C125" s="681">
        <f t="shared" ref="C125:R125" si="65">+C109</f>
        <v>3.4479661856758721</v>
      </c>
      <c r="D125" s="681">
        <f t="shared" si="65"/>
        <v>2.3852653331967577</v>
      </c>
      <c r="E125" s="681">
        <f t="shared" si="65"/>
        <v>3.6857133429508178</v>
      </c>
      <c r="F125" s="681">
        <f t="shared" si="65"/>
        <v>2.6741498992082837</v>
      </c>
      <c r="G125" s="681">
        <f t="shared" si="65"/>
        <v>1.2447919140459411</v>
      </c>
      <c r="H125" s="681">
        <f t="shared" si="65"/>
        <v>1.59347233795363</v>
      </c>
      <c r="I125" s="681" t="str">
        <f t="shared" si="65"/>
        <v/>
      </c>
      <c r="J125" s="681" t="str">
        <f t="shared" si="65"/>
        <v/>
      </c>
      <c r="K125" s="681" t="str">
        <f t="shared" si="65"/>
        <v/>
      </c>
      <c r="L125" s="681" t="str">
        <f t="shared" si="65"/>
        <v/>
      </c>
      <c r="M125" s="681" t="str">
        <f t="shared" si="65"/>
        <v/>
      </c>
      <c r="N125" s="681" t="str">
        <f t="shared" si="65"/>
        <v/>
      </c>
      <c r="O125" s="681">
        <f t="shared" si="65"/>
        <v>2.5287692764231884</v>
      </c>
      <c r="P125" s="681">
        <f t="shared" si="65"/>
        <v>1.8781714999931316</v>
      </c>
      <c r="Q125" s="681">
        <f t="shared" si="65"/>
        <v>3.8140606926114775</v>
      </c>
      <c r="R125" s="681">
        <f t="shared" si="65"/>
        <v>3.8140606926114775</v>
      </c>
    </row>
    <row r="126" spans="1:18" ht="12" thickBot="1" x14ac:dyDescent="0.25">
      <c r="A126" s="695"/>
      <c r="B126" s="661" t="s">
        <v>44</v>
      </c>
      <c r="C126" s="310">
        <f t="shared" ref="C126:R126" si="66">+C85</f>
        <v>0.68875001108010137</v>
      </c>
      <c r="D126" s="310">
        <f t="shared" si="66"/>
        <v>0.54349085670045616</v>
      </c>
      <c r="E126" s="310">
        <f t="shared" si="66"/>
        <v>0.74255986534217777</v>
      </c>
      <c r="F126" s="310">
        <f t="shared" si="66"/>
        <v>0.61235947337722263</v>
      </c>
      <c r="G126" s="310">
        <f t="shared" si="66"/>
        <v>0.73692390642672212</v>
      </c>
      <c r="H126" s="310">
        <f t="shared" si="66"/>
        <v>0.58780998309831467</v>
      </c>
      <c r="I126" s="310">
        <f t="shared" si="66"/>
        <v>0</v>
      </c>
      <c r="J126" s="310">
        <f t="shared" si="66"/>
        <v>0</v>
      </c>
      <c r="K126" s="310">
        <f t="shared" si="66"/>
        <v>0</v>
      </c>
      <c r="L126" s="310">
        <f t="shared" si="66"/>
        <v>0</v>
      </c>
      <c r="M126" s="310">
        <f t="shared" si="66"/>
        <v>0</v>
      </c>
      <c r="N126" s="310">
        <f t="shared" si="66"/>
        <v>0</v>
      </c>
      <c r="O126" s="310">
        <f t="shared" si="66"/>
        <v>0.65109492434154725</v>
      </c>
      <c r="P126" s="310">
        <f t="shared" si="66"/>
        <v>0.588683611256832</v>
      </c>
      <c r="Q126" s="310">
        <f t="shared" si="66"/>
        <v>0.4862349808842798</v>
      </c>
      <c r="R126" s="310">
        <f t="shared" si="66"/>
        <v>0.4862349808842798</v>
      </c>
    </row>
    <row r="127" spans="1:18" ht="12" thickTop="1" x14ac:dyDescent="0.2">
      <c r="B127" s="588"/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  <c r="N127" s="308"/>
      <c r="O127" s="308"/>
      <c r="P127" s="755"/>
      <c r="Q127" s="308"/>
      <c r="R127" s="308"/>
    </row>
    <row r="128" spans="1:18" x14ac:dyDescent="0.2">
      <c r="B128" s="588"/>
      <c r="C128" s="308"/>
      <c r="D128" s="308"/>
      <c r="E128" s="308"/>
      <c r="F128" s="308"/>
      <c r="G128" s="308"/>
      <c r="H128" s="308"/>
      <c r="I128" s="308"/>
      <c r="J128" s="308"/>
      <c r="K128" s="308"/>
      <c r="L128" s="308"/>
      <c r="M128" s="308"/>
      <c r="N128" s="308"/>
      <c r="O128" s="308"/>
      <c r="P128" s="755"/>
      <c r="Q128" s="308"/>
      <c r="R128" s="308"/>
    </row>
    <row r="129" spans="1:18" ht="12" thickBot="1" x14ac:dyDescent="0.25">
      <c r="A129" s="585" t="s">
        <v>126</v>
      </c>
      <c r="B129" s="743"/>
      <c r="C129" s="696">
        <f t="shared" ref="C129:N129" si="67">IF(C131=0,0,+C130/C131)</f>
        <v>2.3747867485880714</v>
      </c>
      <c r="D129" s="696">
        <f t="shared" si="67"/>
        <v>1.2963698993970048</v>
      </c>
      <c r="E129" s="696">
        <f t="shared" si="67"/>
        <v>2.7368628036314271</v>
      </c>
      <c r="F129" s="696">
        <f t="shared" si="67"/>
        <v>1.6375410240109378</v>
      </c>
      <c r="G129" s="696">
        <f t="shared" si="67"/>
        <v>0.91731691998713161</v>
      </c>
      <c r="H129" s="696">
        <f t="shared" si="67"/>
        <v>0.93665894804015515</v>
      </c>
      <c r="I129" s="696">
        <f t="shared" si="67"/>
        <v>0</v>
      </c>
      <c r="J129" s="696">
        <f t="shared" si="67"/>
        <v>0</v>
      </c>
      <c r="K129" s="696">
        <f t="shared" si="67"/>
        <v>0</v>
      </c>
      <c r="L129" s="696">
        <f t="shared" si="67"/>
        <v>0</v>
      </c>
      <c r="M129" s="696">
        <f t="shared" si="67"/>
        <v>0</v>
      </c>
      <c r="N129" s="696">
        <f t="shared" si="67"/>
        <v>0</v>
      </c>
      <c r="O129" s="696">
        <f>+O130/O131</f>
        <v>1.6464688407099852</v>
      </c>
      <c r="P129" s="696">
        <f>+P130/P131</f>
        <v>1.1056487811756177</v>
      </c>
      <c r="Q129" s="696">
        <f>+Q130/Q131</f>
        <v>1.8545297279634247</v>
      </c>
      <c r="R129" s="696">
        <f>+R130/R131</f>
        <v>1.8545297279634247</v>
      </c>
    </row>
    <row r="130" spans="1:18" x14ac:dyDescent="0.2">
      <c r="B130" s="588" t="s">
        <v>31</v>
      </c>
      <c r="C130" s="647">
        <f t="shared" ref="C130:R130" si="68">+C36</f>
        <v>219687.20000000004</v>
      </c>
      <c r="D130" s="647">
        <f t="shared" si="68"/>
        <v>119924.82</v>
      </c>
      <c r="E130" s="647">
        <f t="shared" si="68"/>
        <v>243504.64999999997</v>
      </c>
      <c r="F130" s="647">
        <f t="shared" si="68"/>
        <v>157331.47</v>
      </c>
      <c r="G130" s="647">
        <f t="shared" si="68"/>
        <v>83603.199999999983</v>
      </c>
      <c r="H130" s="647">
        <f t="shared" si="68"/>
        <v>85366.010000000009</v>
      </c>
      <c r="I130" s="647">
        <f t="shared" si="68"/>
        <v>0</v>
      </c>
      <c r="J130" s="647">
        <f t="shared" si="68"/>
        <v>0</v>
      </c>
      <c r="K130" s="647">
        <f t="shared" si="68"/>
        <v>0</v>
      </c>
      <c r="L130" s="647">
        <f t="shared" si="68"/>
        <v>0</v>
      </c>
      <c r="M130" s="647">
        <f t="shared" si="68"/>
        <v>0</v>
      </c>
      <c r="N130" s="647">
        <f t="shared" si="68"/>
        <v>0</v>
      </c>
      <c r="O130" s="647">
        <f t="shared" si="68"/>
        <v>909417.35000000009</v>
      </c>
      <c r="P130" s="647">
        <f t="shared" si="68"/>
        <v>704156.6399999999</v>
      </c>
      <c r="Q130" s="647">
        <f t="shared" si="68"/>
        <v>2312487.3788384832</v>
      </c>
      <c r="R130" s="647">
        <f t="shared" si="68"/>
        <v>192707.28156987359</v>
      </c>
    </row>
    <row r="131" spans="1:18" ht="12" thickBot="1" x14ac:dyDescent="0.25">
      <c r="A131" s="667"/>
      <c r="B131" s="603" t="s">
        <v>45</v>
      </c>
      <c r="C131" s="692">
        <f t="shared" ref="C131:R131" si="69">+C102</f>
        <v>92508.18</v>
      </c>
      <c r="D131" s="692">
        <f t="shared" si="69"/>
        <v>92508.18</v>
      </c>
      <c r="E131" s="692">
        <f t="shared" si="69"/>
        <v>88972.18</v>
      </c>
      <c r="F131" s="692">
        <f t="shared" si="69"/>
        <v>96077.88</v>
      </c>
      <c r="G131" s="692">
        <f t="shared" si="69"/>
        <v>91138.84</v>
      </c>
      <c r="H131" s="692">
        <f t="shared" si="69"/>
        <v>91138.84</v>
      </c>
      <c r="I131" s="692">
        <f t="shared" si="69"/>
        <v>0</v>
      </c>
      <c r="J131" s="692">
        <f t="shared" si="69"/>
        <v>0</v>
      </c>
      <c r="K131" s="692">
        <f t="shared" si="69"/>
        <v>0</v>
      </c>
      <c r="L131" s="692">
        <f t="shared" si="69"/>
        <v>0</v>
      </c>
      <c r="M131" s="692">
        <f t="shared" si="69"/>
        <v>0</v>
      </c>
      <c r="N131" s="692">
        <f t="shared" si="69"/>
        <v>0</v>
      </c>
      <c r="O131" s="692">
        <f t="shared" si="69"/>
        <v>552344.1</v>
      </c>
      <c r="P131" s="692">
        <f t="shared" si="69"/>
        <v>636871.9</v>
      </c>
      <c r="Q131" s="692">
        <f t="shared" si="69"/>
        <v>1246940.0430576922</v>
      </c>
      <c r="R131" s="692">
        <f t="shared" si="69"/>
        <v>103911.67025480769</v>
      </c>
    </row>
    <row r="132" spans="1:18" ht="12" thickTop="1" x14ac:dyDescent="0.2">
      <c r="B132" s="588"/>
      <c r="C132" s="612"/>
      <c r="D132" s="612"/>
      <c r="E132" s="612"/>
      <c r="F132" s="612"/>
      <c r="G132" s="612"/>
      <c r="H132" s="612"/>
      <c r="I132" s="612"/>
      <c r="J132" s="612"/>
      <c r="K132" s="612"/>
      <c r="L132" s="612"/>
      <c r="M132" s="612"/>
      <c r="N132" s="612"/>
      <c r="O132" s="612"/>
      <c r="Q132" s="612"/>
    </row>
    <row r="133" spans="1:18" x14ac:dyDescent="0.2">
      <c r="B133" s="588"/>
      <c r="C133" s="612"/>
      <c r="D133" s="612"/>
      <c r="E133" s="612"/>
      <c r="F133" s="612"/>
      <c r="G133" s="612"/>
      <c r="H133" s="612"/>
      <c r="I133" s="612"/>
      <c r="J133" s="612"/>
      <c r="K133" s="612"/>
      <c r="L133" s="612"/>
      <c r="M133" s="612"/>
      <c r="N133" s="612"/>
      <c r="O133" s="612"/>
      <c r="Q133" s="612"/>
    </row>
    <row r="134" spans="1:18" x14ac:dyDescent="0.2">
      <c r="A134" s="600" t="s">
        <v>127</v>
      </c>
    </row>
    <row r="135" spans="1:18" x14ac:dyDescent="0.2">
      <c r="A135" s="626"/>
      <c r="B135" s="597" t="s">
        <v>128</v>
      </c>
      <c r="C135" s="612">
        <f>+C31</f>
        <v>270437.65000000002</v>
      </c>
      <c r="D135" s="612">
        <f t="shared" ref="D135:N135" si="70">+C135+D31</f>
        <v>533726.76</v>
      </c>
      <c r="E135" s="612">
        <f t="shared" si="70"/>
        <v>832665.11</v>
      </c>
      <c r="F135" s="612">
        <f t="shared" si="70"/>
        <v>1077696.74</v>
      </c>
      <c r="G135" s="612">
        <f t="shared" si="70"/>
        <v>1232353.57</v>
      </c>
      <c r="H135" s="612">
        <f t="shared" si="70"/>
        <v>1343389.9500000002</v>
      </c>
      <c r="I135" s="612">
        <f t="shared" si="70"/>
        <v>1343389.9500000002</v>
      </c>
      <c r="J135" s="612">
        <f t="shared" si="70"/>
        <v>1343389.9500000002</v>
      </c>
      <c r="K135" s="612">
        <f t="shared" si="70"/>
        <v>1343389.9500000002</v>
      </c>
      <c r="L135" s="612">
        <f t="shared" si="70"/>
        <v>1343389.9500000002</v>
      </c>
      <c r="M135" s="612">
        <f t="shared" si="70"/>
        <v>1343389.9500000002</v>
      </c>
      <c r="N135" s="612">
        <f t="shared" si="70"/>
        <v>1343389.9500000002</v>
      </c>
      <c r="O135" s="612"/>
      <c r="Q135" s="612"/>
    </row>
    <row r="136" spans="1:18" x14ac:dyDescent="0.2">
      <c r="B136" s="562" t="s">
        <v>129</v>
      </c>
      <c r="C136" s="583">
        <f>+R31</f>
        <v>361731.01662052813</v>
      </c>
      <c r="D136" s="583">
        <f t="shared" ref="D136:N136" si="71">+C136+$R$31</f>
        <v>723462.03324105626</v>
      </c>
      <c r="E136" s="583">
        <f t="shared" si="71"/>
        <v>1085193.0498615843</v>
      </c>
      <c r="F136" s="583">
        <f t="shared" si="71"/>
        <v>1446924.0664821125</v>
      </c>
      <c r="G136" s="583">
        <f t="shared" si="71"/>
        <v>1808655.0831026407</v>
      </c>
      <c r="H136" s="583">
        <f t="shared" si="71"/>
        <v>2170386.0997231686</v>
      </c>
      <c r="I136" s="583">
        <f t="shared" si="71"/>
        <v>2532117.1163436966</v>
      </c>
      <c r="J136" s="583">
        <f t="shared" si="71"/>
        <v>2893848.1329642246</v>
      </c>
      <c r="K136" s="583">
        <f t="shared" si="71"/>
        <v>3255579.1495847525</v>
      </c>
      <c r="L136" s="583">
        <f t="shared" si="71"/>
        <v>3617310.1662052805</v>
      </c>
      <c r="M136" s="583">
        <f t="shared" si="71"/>
        <v>3979041.1828258084</v>
      </c>
      <c r="N136" s="583">
        <f t="shared" si="71"/>
        <v>4340772.1994463364</v>
      </c>
      <c r="O136" s="583"/>
      <c r="Q136" s="583"/>
    </row>
    <row r="137" spans="1:18" x14ac:dyDescent="0.2">
      <c r="A137" s="562"/>
      <c r="B137" s="562" t="s">
        <v>130</v>
      </c>
      <c r="C137" s="756">
        <f>+C36</f>
        <v>219687.20000000004</v>
      </c>
      <c r="D137" s="756">
        <f t="shared" ref="D137:N137" si="72">+C137+D36</f>
        <v>339612.02</v>
      </c>
      <c r="E137" s="756">
        <f t="shared" si="72"/>
        <v>583116.66999999993</v>
      </c>
      <c r="F137" s="756">
        <f t="shared" si="72"/>
        <v>740448.1399999999</v>
      </c>
      <c r="G137" s="756">
        <f t="shared" si="72"/>
        <v>824051.33999999985</v>
      </c>
      <c r="H137" s="756">
        <f t="shared" si="72"/>
        <v>909417.34999999986</v>
      </c>
      <c r="I137" s="756">
        <f t="shared" si="72"/>
        <v>909417.34999999986</v>
      </c>
      <c r="J137" s="756">
        <f t="shared" si="72"/>
        <v>909417.34999999986</v>
      </c>
      <c r="K137" s="756">
        <f t="shared" si="72"/>
        <v>909417.34999999986</v>
      </c>
      <c r="L137" s="756">
        <f t="shared" si="72"/>
        <v>909417.34999999986</v>
      </c>
      <c r="M137" s="756">
        <f t="shared" si="72"/>
        <v>909417.34999999986</v>
      </c>
      <c r="N137" s="756">
        <f t="shared" si="72"/>
        <v>909417.34999999986</v>
      </c>
    </row>
    <row r="138" spans="1:18" x14ac:dyDescent="0.2">
      <c r="A138" s="562"/>
      <c r="B138" s="562" t="s">
        <v>131</v>
      </c>
      <c r="C138" s="756">
        <f>+R36</f>
        <v>192707.28156987359</v>
      </c>
      <c r="D138" s="756">
        <f t="shared" ref="D138:N138" si="73">+C138+$R$36</f>
        <v>385414.56313974719</v>
      </c>
      <c r="E138" s="756">
        <f t="shared" si="73"/>
        <v>578121.84470962081</v>
      </c>
      <c r="F138" s="756">
        <f t="shared" si="73"/>
        <v>770829.12627949438</v>
      </c>
      <c r="G138" s="756">
        <f t="shared" si="73"/>
        <v>963536.40784936794</v>
      </c>
      <c r="H138" s="756">
        <f t="shared" si="73"/>
        <v>1156243.6894192416</v>
      </c>
      <c r="I138" s="756">
        <f t="shared" si="73"/>
        <v>1348950.9709891153</v>
      </c>
      <c r="J138" s="756">
        <f t="shared" si="73"/>
        <v>1541658.252558989</v>
      </c>
      <c r="K138" s="756">
        <f t="shared" si="73"/>
        <v>1734365.5341288627</v>
      </c>
      <c r="L138" s="756">
        <f t="shared" si="73"/>
        <v>1927072.8156987363</v>
      </c>
      <c r="M138" s="756">
        <f t="shared" si="73"/>
        <v>2119780.0972686098</v>
      </c>
      <c r="N138" s="756">
        <f t="shared" si="73"/>
        <v>2312487.3788384832</v>
      </c>
    </row>
    <row r="139" spans="1:18" x14ac:dyDescent="0.2">
      <c r="A139" s="562"/>
      <c r="B139" s="562" t="s">
        <v>132</v>
      </c>
      <c r="C139" s="756">
        <f>+C43</f>
        <v>72272.810000000027</v>
      </c>
      <c r="D139" s="756">
        <f t="shared" ref="D139:N139" si="74">+C139+D43</f>
        <v>35021.560000000027</v>
      </c>
      <c r="E139" s="756">
        <f t="shared" si="74"/>
        <v>131100.15</v>
      </c>
      <c r="F139" s="756">
        <f t="shared" si="74"/>
        <v>136703.70000000001</v>
      </c>
      <c r="G139" s="756">
        <f t="shared" si="74"/>
        <v>82523.239999999991</v>
      </c>
      <c r="H139" s="756">
        <f t="shared" si="74"/>
        <v>24308.850000000006</v>
      </c>
      <c r="I139" s="756">
        <f t="shared" si="74"/>
        <v>24308.850000000006</v>
      </c>
      <c r="J139" s="756">
        <f t="shared" si="74"/>
        <v>24308.850000000006</v>
      </c>
      <c r="K139" s="756">
        <f t="shared" si="74"/>
        <v>24308.850000000006</v>
      </c>
      <c r="L139" s="756">
        <f t="shared" si="74"/>
        <v>24308.850000000006</v>
      </c>
      <c r="M139" s="756">
        <f t="shared" si="74"/>
        <v>24308.850000000006</v>
      </c>
      <c r="N139" s="756">
        <f t="shared" si="74"/>
        <v>24308.850000000006</v>
      </c>
    </row>
    <row r="140" spans="1:18" x14ac:dyDescent="0.2">
      <c r="A140" s="562"/>
      <c r="B140" s="562" t="s">
        <v>133</v>
      </c>
      <c r="C140" s="756">
        <f>+R43</f>
        <v>31045.435817830468</v>
      </c>
      <c r="D140" s="756">
        <f t="shared" ref="D140:N140" si="75">+C140+$R$43</f>
        <v>62090.871635660937</v>
      </c>
      <c r="E140" s="756">
        <f t="shared" si="75"/>
        <v>93136.307453491405</v>
      </c>
      <c r="F140" s="756">
        <f t="shared" si="75"/>
        <v>124181.74327132187</v>
      </c>
      <c r="G140" s="756">
        <f t="shared" si="75"/>
        <v>155227.17908915234</v>
      </c>
      <c r="H140" s="756">
        <f t="shared" si="75"/>
        <v>186272.61490698281</v>
      </c>
      <c r="I140" s="756">
        <f t="shared" si="75"/>
        <v>217318.05072481328</v>
      </c>
      <c r="J140" s="756">
        <f t="shared" si="75"/>
        <v>248363.48654264375</v>
      </c>
      <c r="K140" s="756">
        <f t="shared" si="75"/>
        <v>279408.92236047424</v>
      </c>
      <c r="L140" s="756">
        <f t="shared" si="75"/>
        <v>310454.35817830474</v>
      </c>
      <c r="M140" s="756">
        <f t="shared" si="75"/>
        <v>341499.79399613524</v>
      </c>
      <c r="N140" s="756">
        <f t="shared" si="75"/>
        <v>372545.22981396574</v>
      </c>
    </row>
    <row r="143" spans="1:18" x14ac:dyDescent="0.2">
      <c r="B143" s="562" t="s">
        <v>134</v>
      </c>
      <c r="C143" s="756">
        <f>+C41</f>
        <v>83699.38</v>
      </c>
      <c r="D143" s="756">
        <f t="shared" ref="D143:N143" si="76">+C143+D41</f>
        <v>190598.1</v>
      </c>
      <c r="E143" s="756">
        <f t="shared" si="76"/>
        <v>271956.99</v>
      </c>
      <c r="F143" s="756">
        <f t="shared" si="76"/>
        <v>364850.70999999996</v>
      </c>
      <c r="G143" s="756">
        <f t="shared" si="76"/>
        <v>435471.98</v>
      </c>
      <c r="H143" s="756">
        <f t="shared" si="76"/>
        <v>525480.05999999994</v>
      </c>
      <c r="I143" s="756">
        <f t="shared" si="76"/>
        <v>525480.05999999994</v>
      </c>
      <c r="J143" s="756">
        <f t="shared" si="76"/>
        <v>525480.05999999994</v>
      </c>
      <c r="K143" s="756">
        <f t="shared" si="76"/>
        <v>525480.05999999994</v>
      </c>
      <c r="L143" s="756">
        <f t="shared" si="76"/>
        <v>525480.05999999994</v>
      </c>
      <c r="M143" s="756">
        <f t="shared" si="76"/>
        <v>525480.05999999994</v>
      </c>
      <c r="N143" s="756">
        <f t="shared" si="76"/>
        <v>525480.05999999994</v>
      </c>
    </row>
    <row r="144" spans="1:18" x14ac:dyDescent="0.2">
      <c r="B144" s="562" t="s">
        <v>135</v>
      </c>
      <c r="C144" s="756">
        <f>+R41</f>
        <v>111136.35675204311</v>
      </c>
      <c r="D144" s="756">
        <f t="shared" ref="D144:N144" si="77">+C144+$R$41</f>
        <v>222272.71350408622</v>
      </c>
      <c r="E144" s="756">
        <f t="shared" si="77"/>
        <v>333409.07025612931</v>
      </c>
      <c r="F144" s="756">
        <f t="shared" si="77"/>
        <v>444545.42700817244</v>
      </c>
      <c r="G144" s="756">
        <f t="shared" si="77"/>
        <v>555681.78376021551</v>
      </c>
      <c r="H144" s="756">
        <f t="shared" si="77"/>
        <v>666818.14051225863</v>
      </c>
      <c r="I144" s="756">
        <f t="shared" si="77"/>
        <v>777954.49726430175</v>
      </c>
      <c r="J144" s="756">
        <f t="shared" si="77"/>
        <v>889090.85401634488</v>
      </c>
      <c r="K144" s="756">
        <f t="shared" si="77"/>
        <v>1000227.210768388</v>
      </c>
      <c r="L144" s="756">
        <f t="shared" si="77"/>
        <v>1111363.567520431</v>
      </c>
      <c r="M144" s="756">
        <f t="shared" si="77"/>
        <v>1222499.9242724741</v>
      </c>
      <c r="N144" s="756">
        <f t="shared" si="77"/>
        <v>1333636.2810245173</v>
      </c>
    </row>
    <row r="145" spans="2:14" x14ac:dyDescent="0.2">
      <c r="B145" s="562" t="s">
        <v>136</v>
      </c>
      <c r="C145" s="756">
        <f>+C39</f>
        <v>28793.17</v>
      </c>
      <c r="D145" s="756">
        <f t="shared" ref="D145:N145" si="78">+C145+D101</f>
        <v>71024</v>
      </c>
      <c r="E145" s="756">
        <f t="shared" si="78"/>
        <v>93929.01</v>
      </c>
      <c r="F145" s="756">
        <f t="shared" si="78"/>
        <v>131172.69</v>
      </c>
      <c r="G145" s="756">
        <f t="shared" si="78"/>
        <v>155149.14000000001</v>
      </c>
      <c r="H145" s="756">
        <f t="shared" si="78"/>
        <v>192715.66</v>
      </c>
      <c r="I145" s="756">
        <f t="shared" si="78"/>
        <v>192715.66</v>
      </c>
      <c r="J145" s="756">
        <f t="shared" si="78"/>
        <v>192715.66</v>
      </c>
      <c r="K145" s="756">
        <f t="shared" si="78"/>
        <v>192715.66</v>
      </c>
      <c r="L145" s="756">
        <f t="shared" si="78"/>
        <v>192715.66</v>
      </c>
      <c r="M145" s="756">
        <f t="shared" si="78"/>
        <v>192715.66</v>
      </c>
      <c r="N145" s="756">
        <f t="shared" si="78"/>
        <v>192715.66</v>
      </c>
    </row>
    <row r="146" spans="2:14" x14ac:dyDescent="0.2">
      <c r="B146" s="562" t="s">
        <v>137</v>
      </c>
      <c r="C146" s="756">
        <f>+R39</f>
        <v>53386.181254807685</v>
      </c>
      <c r="D146" s="756">
        <f t="shared" ref="D146:N146" si="79">+C146+$R$39</f>
        <v>106772.36250961537</v>
      </c>
      <c r="E146" s="756">
        <f t="shared" si="79"/>
        <v>160158.54376442306</v>
      </c>
      <c r="F146" s="756">
        <f t="shared" si="79"/>
        <v>213544.72501923074</v>
      </c>
      <c r="G146" s="756">
        <f t="shared" si="79"/>
        <v>266930.90627403843</v>
      </c>
      <c r="H146" s="756">
        <f t="shared" si="79"/>
        <v>320317.08752884611</v>
      </c>
      <c r="I146" s="756">
        <f t="shared" si="79"/>
        <v>373703.2687836538</v>
      </c>
      <c r="J146" s="756">
        <f t="shared" si="79"/>
        <v>427089.45003846148</v>
      </c>
      <c r="K146" s="756">
        <f t="shared" si="79"/>
        <v>480475.63129326917</v>
      </c>
      <c r="L146" s="756">
        <f t="shared" si="79"/>
        <v>533861.81254807685</v>
      </c>
      <c r="M146" s="756">
        <f t="shared" si="79"/>
        <v>587247.99380288459</v>
      </c>
      <c r="N146" s="756">
        <f t="shared" si="79"/>
        <v>640634.17505769222</v>
      </c>
    </row>
    <row r="148" spans="2:14" x14ac:dyDescent="0.2">
      <c r="B148" s="562" t="s">
        <v>138</v>
      </c>
      <c r="C148" s="756">
        <f>+C102</f>
        <v>92508.18</v>
      </c>
      <c r="D148" s="756">
        <f t="shared" ref="D148:N148" si="80">+C148+D102</f>
        <v>185016.36</v>
      </c>
      <c r="E148" s="756">
        <f t="shared" si="80"/>
        <v>273988.53999999998</v>
      </c>
      <c r="F148" s="756">
        <f t="shared" si="80"/>
        <v>370066.42</v>
      </c>
      <c r="G148" s="756">
        <f t="shared" si="80"/>
        <v>461205.26</v>
      </c>
      <c r="H148" s="756">
        <f t="shared" si="80"/>
        <v>552344.1</v>
      </c>
      <c r="I148" s="756">
        <f t="shared" si="80"/>
        <v>552344.1</v>
      </c>
      <c r="J148" s="756">
        <f t="shared" si="80"/>
        <v>552344.1</v>
      </c>
      <c r="K148" s="756">
        <f t="shared" si="80"/>
        <v>552344.1</v>
      </c>
      <c r="L148" s="756">
        <f t="shared" si="80"/>
        <v>552344.1</v>
      </c>
      <c r="M148" s="756">
        <f t="shared" si="80"/>
        <v>552344.1</v>
      </c>
      <c r="N148" s="756">
        <f t="shared" si="80"/>
        <v>552344.1</v>
      </c>
    </row>
    <row r="149" spans="2:14" x14ac:dyDescent="0.2">
      <c r="B149" s="562" t="s">
        <v>139</v>
      </c>
      <c r="C149" s="756">
        <f>+R35+R39</f>
        <v>103911.67025480769</v>
      </c>
      <c r="D149" s="756">
        <f t="shared" ref="D149:N149" si="81">+C149+$R$35+$R$39</f>
        <v>207823.34050961537</v>
      </c>
      <c r="E149" s="756">
        <f t="shared" si="81"/>
        <v>311735.01076442306</v>
      </c>
      <c r="F149" s="756">
        <f t="shared" si="81"/>
        <v>415646.68101923075</v>
      </c>
      <c r="G149" s="756">
        <f t="shared" si="81"/>
        <v>519558.35127403843</v>
      </c>
      <c r="H149" s="756">
        <f t="shared" si="81"/>
        <v>623470.02152884612</v>
      </c>
      <c r="I149" s="756">
        <f t="shared" si="81"/>
        <v>727381.69178365381</v>
      </c>
      <c r="J149" s="756">
        <f t="shared" si="81"/>
        <v>831293.36203846149</v>
      </c>
      <c r="K149" s="756">
        <f t="shared" si="81"/>
        <v>935205.03229326918</v>
      </c>
      <c r="L149" s="756">
        <f t="shared" si="81"/>
        <v>1039116.7025480769</v>
      </c>
      <c r="M149" s="756">
        <f t="shared" si="81"/>
        <v>1143028.3728028846</v>
      </c>
      <c r="N149" s="756">
        <f t="shared" si="81"/>
        <v>1246940.0430576922</v>
      </c>
    </row>
    <row r="150" spans="2:14" x14ac:dyDescent="0.2">
      <c r="B150" s="562" t="s">
        <v>140</v>
      </c>
      <c r="C150" s="756">
        <f>+C35</f>
        <v>63715.01</v>
      </c>
      <c r="D150" s="756">
        <f t="shared" ref="D150:N150" si="82">+C150+D35</f>
        <v>113992.36</v>
      </c>
      <c r="E150" s="756">
        <f t="shared" si="82"/>
        <v>180059.53</v>
      </c>
      <c r="F150" s="756">
        <f t="shared" si="82"/>
        <v>238893.72999999998</v>
      </c>
      <c r="G150" s="756">
        <f t="shared" si="82"/>
        <v>306056.12</v>
      </c>
      <c r="H150" s="756">
        <f t="shared" si="82"/>
        <v>359628.44</v>
      </c>
      <c r="I150" s="756">
        <f t="shared" si="82"/>
        <v>359628.44</v>
      </c>
      <c r="J150" s="756">
        <f t="shared" si="82"/>
        <v>359628.44</v>
      </c>
      <c r="K150" s="756">
        <f t="shared" si="82"/>
        <v>359628.44</v>
      </c>
      <c r="L150" s="756">
        <f t="shared" si="82"/>
        <v>359628.44</v>
      </c>
      <c r="M150" s="756">
        <f t="shared" si="82"/>
        <v>359628.44</v>
      </c>
      <c r="N150" s="756">
        <f t="shared" si="82"/>
        <v>359628.44</v>
      </c>
    </row>
    <row r="151" spans="2:14" x14ac:dyDescent="0.2">
      <c r="B151" s="562" t="s">
        <v>141</v>
      </c>
      <c r="C151" s="756">
        <f>+R35</f>
        <v>50525.489000000001</v>
      </c>
      <c r="D151" s="756">
        <f t="shared" ref="D151:N151" si="83">+C151+$R$35</f>
        <v>101050.978</v>
      </c>
      <c r="E151" s="756">
        <f t="shared" si="83"/>
        <v>151576.467</v>
      </c>
      <c r="F151" s="756">
        <f t="shared" si="83"/>
        <v>202101.95600000001</v>
      </c>
      <c r="G151" s="756">
        <f t="shared" si="83"/>
        <v>252627.44500000001</v>
      </c>
      <c r="H151" s="756">
        <f t="shared" si="83"/>
        <v>303152.93400000001</v>
      </c>
      <c r="I151" s="756">
        <f t="shared" si="83"/>
        <v>353678.42300000001</v>
      </c>
      <c r="J151" s="756">
        <f t="shared" si="83"/>
        <v>404203.91200000001</v>
      </c>
      <c r="K151" s="756">
        <f t="shared" si="83"/>
        <v>454729.40100000001</v>
      </c>
      <c r="L151" s="756">
        <f t="shared" si="83"/>
        <v>505254.89</v>
      </c>
      <c r="M151" s="756">
        <f t="shared" si="83"/>
        <v>555780.37899999996</v>
      </c>
      <c r="N151" s="756">
        <f t="shared" si="83"/>
        <v>606305.86800000002</v>
      </c>
    </row>
  </sheetData>
  <phoneticPr fontId="4" type="noConversion"/>
  <printOptions horizontalCentered="1" verticalCentered="1" headings="1"/>
  <pageMargins left="0.75" right="0.75" top="1" bottom="1" header="0.5" footer="0.5"/>
  <pageSetup scale="63" fitToHeight="0" orientation="landscape" blackAndWhite="1" horizontalDpi="300" verticalDpi="300" r:id="rId1"/>
  <headerFooter alignWithMargins="0">
    <oddHeader>&amp;L&amp;"Arial,Regular"&amp;D
&amp;T&amp;C&amp;"Times New Roman,Italic"CAPP * Computer Aided Profit Plan
For Design Firm Financial Control
Executive Summary Analysis of Operations</oddHeader>
    <oddFooter>&amp;L&amp;A&amp;R&amp;P</oddFooter>
  </headerFooter>
  <rowBreaks count="3" manualBreakCount="3">
    <brk id="45" max="16383" man="1"/>
    <brk id="82" max="16383" man="1"/>
    <brk id="127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N142"/>
  <sheetViews>
    <sheetView topLeftCell="A94" zoomScaleNormal="100" workbookViewId="0">
      <selection activeCell="V103" sqref="V103"/>
    </sheetView>
  </sheetViews>
  <sheetFormatPr defaultColWidth="8" defaultRowHeight="11.25" x14ac:dyDescent="0.2"/>
  <cols>
    <col min="1" max="1" width="4.125" style="582" customWidth="1"/>
    <col min="2" max="2" width="22.625" style="562" customWidth="1"/>
    <col min="3" max="3" width="9" style="218" customWidth="1"/>
    <col min="4" max="4" width="9" style="218" hidden="1" customWidth="1"/>
    <col min="5" max="13" width="9" style="218" customWidth="1"/>
    <col min="14" max="14" width="11.25" style="562" customWidth="1"/>
    <col min="15" max="16384" width="8" style="562"/>
  </cols>
  <sheetData>
    <row r="1" spans="1:14" x14ac:dyDescent="0.2">
      <c r="A1" s="561"/>
      <c r="B1" s="561"/>
    </row>
    <row r="2" spans="1:14" s="564" customFormat="1" x14ac:dyDescent="0.2">
      <c r="A2" s="563"/>
      <c r="B2" s="563"/>
      <c r="N2" s="565"/>
    </row>
    <row r="3" spans="1:14" x14ac:dyDescent="0.2">
      <c r="A3" s="566"/>
      <c r="B3" s="567"/>
      <c r="N3" s="568"/>
    </row>
    <row r="4" spans="1:14" x14ac:dyDescent="0.2">
      <c r="A4" s="569"/>
      <c r="B4" s="570"/>
      <c r="C4" s="571">
        <v>1</v>
      </c>
      <c r="D4" s="571"/>
      <c r="E4" s="571">
        <v>2</v>
      </c>
      <c r="F4" s="571">
        <v>3</v>
      </c>
      <c r="G4" s="571">
        <v>4</v>
      </c>
      <c r="H4" s="571">
        <v>5</v>
      </c>
      <c r="I4" s="571">
        <v>6</v>
      </c>
      <c r="J4" s="571">
        <v>7</v>
      </c>
      <c r="K4" s="571">
        <v>8</v>
      </c>
      <c r="L4" s="571">
        <v>9</v>
      </c>
      <c r="M4" s="572">
        <v>2012</v>
      </c>
      <c r="N4" s="568"/>
    </row>
    <row r="5" spans="1:14" s="577" customFormat="1" x14ac:dyDescent="0.2">
      <c r="A5" s="573"/>
      <c r="B5" s="574"/>
      <c r="C5" s="575" t="s">
        <v>0</v>
      </c>
      <c r="D5" s="576">
        <f>+'Tab-14 CurrentData'!O6</f>
        <v>41090</v>
      </c>
      <c r="E5" s="576" t="s">
        <v>0</v>
      </c>
      <c r="F5" s="576" t="s">
        <v>0</v>
      </c>
      <c r="G5" s="576" t="s">
        <v>0</v>
      </c>
      <c r="H5" s="576" t="s">
        <v>0</v>
      </c>
      <c r="I5" s="576" t="s">
        <v>0</v>
      </c>
      <c r="J5" s="576" t="s">
        <v>0</v>
      </c>
      <c r="K5" s="576" t="s">
        <v>0</v>
      </c>
      <c r="L5" s="576" t="s">
        <v>0</v>
      </c>
      <c r="M5" s="576" t="s">
        <v>0</v>
      </c>
      <c r="N5" s="568"/>
    </row>
    <row r="6" spans="1:14" s="577" customFormat="1" x14ac:dyDescent="0.2">
      <c r="A6" s="578"/>
      <c r="B6" s="579"/>
      <c r="C6" s="580">
        <v>37986</v>
      </c>
      <c r="D6" s="580" t="s">
        <v>142</v>
      </c>
      <c r="E6" s="580">
        <v>38352</v>
      </c>
      <c r="F6" s="580">
        <v>38717</v>
      </c>
      <c r="G6" s="580">
        <v>39082</v>
      </c>
      <c r="H6" s="580">
        <v>39447</v>
      </c>
      <c r="I6" s="580">
        <v>39813</v>
      </c>
      <c r="J6" s="580">
        <v>40178</v>
      </c>
      <c r="K6" s="580">
        <v>40543</v>
      </c>
      <c r="L6" s="580">
        <v>40908</v>
      </c>
      <c r="M6" s="580" t="s">
        <v>980</v>
      </c>
      <c r="N6" s="581" t="str">
        <f>+'Tab-14 CurrentData'!Q6:Q9</f>
        <v>Plan2012</v>
      </c>
    </row>
    <row r="7" spans="1:14" x14ac:dyDescent="0.2"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</row>
    <row r="8" spans="1:14" ht="12" thickBot="1" x14ac:dyDescent="0.25">
      <c r="A8" s="584"/>
      <c r="B8" s="585" t="s">
        <v>75</v>
      </c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</row>
    <row r="9" spans="1:14" x14ac:dyDescent="0.2">
      <c r="A9" s="587"/>
      <c r="B9" s="588" t="s">
        <v>76</v>
      </c>
      <c r="C9" s="589">
        <v>47025</v>
      </c>
      <c r="D9" s="589">
        <f>+'Tab-14 CurrentData'!O9</f>
        <v>11349</v>
      </c>
      <c r="E9" s="589">
        <v>47496</v>
      </c>
      <c r="F9" s="589">
        <v>49716</v>
      </c>
      <c r="G9" s="589">
        <v>48354</v>
      </c>
      <c r="H9" s="589">
        <v>59035</v>
      </c>
      <c r="I9" s="589">
        <v>56888</v>
      </c>
      <c r="J9" s="589">
        <v>34177</v>
      </c>
      <c r="K9" s="589">
        <v>27972</v>
      </c>
      <c r="L9" s="589">
        <v>22834</v>
      </c>
      <c r="M9" s="590">
        <f>+'Tab-14 CurrentData'!O9</f>
        <v>11349</v>
      </c>
      <c r="N9" s="590">
        <f>+'Tab-14 CurrentData'!Q9</f>
        <v>22568</v>
      </c>
    </row>
    <row r="10" spans="1:14" x14ac:dyDescent="0.2">
      <c r="A10" s="587"/>
      <c r="B10" s="588" t="s">
        <v>77</v>
      </c>
      <c r="C10" s="589">
        <v>12465</v>
      </c>
      <c r="D10" s="589">
        <f>+'Tab-14 CurrentData'!O10</f>
        <v>3939</v>
      </c>
      <c r="E10" s="589">
        <v>15132</v>
      </c>
      <c r="F10" s="589">
        <v>18864</v>
      </c>
      <c r="G10" s="589">
        <v>19331</v>
      </c>
      <c r="H10" s="589">
        <v>17763</v>
      </c>
      <c r="I10" s="589">
        <v>24399</v>
      </c>
      <c r="J10" s="589">
        <v>18269</v>
      </c>
      <c r="K10" s="589">
        <f>+K12-K9-K11</f>
        <v>12664</v>
      </c>
      <c r="L10" s="589">
        <f>+L12-L9-L11</f>
        <v>8902</v>
      </c>
      <c r="M10" s="590">
        <f>+'Tab-14 CurrentData'!O10</f>
        <v>3939</v>
      </c>
      <c r="N10" s="590">
        <f>+'Tab-14 CurrentData'!Q10</f>
        <v>5208</v>
      </c>
    </row>
    <row r="11" spans="1:14" ht="12" thickBot="1" x14ac:dyDescent="0.25">
      <c r="A11" s="591"/>
      <c r="B11" s="592" t="s">
        <v>78</v>
      </c>
      <c r="C11" s="593">
        <v>4773</v>
      </c>
      <c r="D11" s="593">
        <f>+'Tab-14 CurrentData'!O11</f>
        <v>714</v>
      </c>
      <c r="E11" s="593">
        <v>4064</v>
      </c>
      <c r="F11" s="593">
        <v>6241</v>
      </c>
      <c r="G11" s="593">
        <v>5126</v>
      </c>
      <c r="H11" s="593">
        <v>4244</v>
      </c>
      <c r="I11" s="593">
        <v>7289</v>
      </c>
      <c r="J11" s="593">
        <v>-277</v>
      </c>
      <c r="K11" s="593">
        <f>2059-1016+1504</f>
        <v>2547</v>
      </c>
      <c r="L11" s="593">
        <v>2067</v>
      </c>
      <c r="M11" s="594">
        <f>+'Tab-14 CurrentData'!O11</f>
        <v>714</v>
      </c>
      <c r="N11" s="594">
        <f>+'Tab-14 CurrentData'!Q11</f>
        <v>2592</v>
      </c>
    </row>
    <row r="12" spans="1:14" ht="12" thickBot="1" x14ac:dyDescent="0.25">
      <c r="A12" s="591"/>
      <c r="B12" s="592" t="s">
        <v>17</v>
      </c>
      <c r="C12" s="595">
        <f t="shared" ref="C12" si="0">C9+C10+C11</f>
        <v>64263</v>
      </c>
      <c r="D12" s="595">
        <f t="shared" ref="D12:J12" si="1">D9+D10+D11</f>
        <v>16002</v>
      </c>
      <c r="E12" s="595">
        <f t="shared" si="1"/>
        <v>66692</v>
      </c>
      <c r="F12" s="595">
        <f t="shared" si="1"/>
        <v>74821</v>
      </c>
      <c r="G12" s="595">
        <f t="shared" si="1"/>
        <v>72811</v>
      </c>
      <c r="H12" s="595">
        <f t="shared" si="1"/>
        <v>81042</v>
      </c>
      <c r="I12" s="595">
        <f t="shared" si="1"/>
        <v>88576</v>
      </c>
      <c r="J12" s="595">
        <f t="shared" si="1"/>
        <v>52169</v>
      </c>
      <c r="K12" s="595">
        <v>43183</v>
      </c>
      <c r="L12" s="595">
        <f>+L17-L15</f>
        <v>33803</v>
      </c>
      <c r="M12" s="595">
        <f>+'Tab-14 CurrentData'!O12</f>
        <v>16002</v>
      </c>
      <c r="N12" s="595">
        <f>+'Tab-14 CurrentData'!Q12</f>
        <v>30368</v>
      </c>
    </row>
    <row r="13" spans="1:14" x14ac:dyDescent="0.2">
      <c r="A13" s="596"/>
      <c r="B13" s="597" t="s">
        <v>79</v>
      </c>
      <c r="C13" s="589">
        <v>21000</v>
      </c>
      <c r="D13" s="589">
        <f>+'Tab-14 CurrentData'!O13</f>
        <v>3704</v>
      </c>
      <c r="E13" s="589">
        <v>21889</v>
      </c>
      <c r="F13" s="589">
        <v>20850</v>
      </c>
      <c r="G13" s="589">
        <v>21192</v>
      </c>
      <c r="H13" s="589">
        <v>22199</v>
      </c>
      <c r="I13" s="589">
        <v>23211</v>
      </c>
      <c r="J13" s="589">
        <v>17069</v>
      </c>
      <c r="K13" s="589">
        <f>+K15-K14</f>
        <v>13439</v>
      </c>
      <c r="L13" s="589">
        <f>+L15-L14</f>
        <v>7349</v>
      </c>
      <c r="M13" s="590">
        <f>+'Tab-14 CurrentData'!O13</f>
        <v>3704</v>
      </c>
      <c r="N13" s="590">
        <f>+'Tab-14 CurrentData'!Q13</f>
        <v>8112</v>
      </c>
    </row>
    <row r="14" spans="1:14" ht="12" thickBot="1" x14ac:dyDescent="0.25">
      <c r="A14" s="591"/>
      <c r="B14" s="592" t="s">
        <v>80</v>
      </c>
      <c r="C14" s="593">
        <v>2598</v>
      </c>
      <c r="D14" s="593">
        <f>+'Tab-14 CurrentData'!O14</f>
        <v>312</v>
      </c>
      <c r="E14" s="593">
        <v>2384</v>
      </c>
      <c r="F14" s="593">
        <v>2304</v>
      </c>
      <c r="G14" s="593">
        <v>2308</v>
      </c>
      <c r="H14" s="593">
        <v>1955</v>
      </c>
      <c r="I14" s="593">
        <v>2398</v>
      </c>
      <c r="J14" s="593">
        <v>1255</v>
      </c>
      <c r="K14" s="593">
        <f>614+134+552</f>
        <v>1300</v>
      </c>
      <c r="L14" s="593">
        <f>307+128+280</f>
        <v>715</v>
      </c>
      <c r="M14" s="594">
        <f>+'Tab-14 CurrentData'!O14</f>
        <v>312</v>
      </c>
      <c r="N14" s="594">
        <f>+'Tab-14 CurrentData'!Q14</f>
        <v>576</v>
      </c>
    </row>
    <row r="15" spans="1:14" ht="12" thickBot="1" x14ac:dyDescent="0.25">
      <c r="A15" s="591"/>
      <c r="B15" s="592" t="s">
        <v>18</v>
      </c>
      <c r="C15" s="595">
        <f t="shared" ref="C15" si="2">+C13+C14</f>
        <v>23598</v>
      </c>
      <c r="D15" s="595">
        <f t="shared" ref="D15:J15" si="3">+D13+D14</f>
        <v>4016</v>
      </c>
      <c r="E15" s="595">
        <f t="shared" si="3"/>
        <v>24273</v>
      </c>
      <c r="F15" s="595">
        <f t="shared" si="3"/>
        <v>23154</v>
      </c>
      <c r="G15" s="595">
        <f t="shared" si="3"/>
        <v>23500</v>
      </c>
      <c r="H15" s="595">
        <f t="shared" si="3"/>
        <v>24154</v>
      </c>
      <c r="I15" s="595">
        <f t="shared" si="3"/>
        <v>25609</v>
      </c>
      <c r="J15" s="595">
        <f t="shared" si="3"/>
        <v>18324</v>
      </c>
      <c r="K15" s="598">
        <v>14739</v>
      </c>
      <c r="L15" s="598">
        <v>8064</v>
      </c>
      <c r="M15" s="595">
        <f>+'Tab-14 CurrentData'!O15</f>
        <v>4016</v>
      </c>
      <c r="N15" s="595">
        <f>+'Tab-14 CurrentData'!Q15</f>
        <v>8688</v>
      </c>
    </row>
    <row r="16" spans="1:14" s="600" customFormat="1" x14ac:dyDescent="0.2">
      <c r="A16" s="599"/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</row>
    <row r="17" spans="1:14" ht="12" thickBot="1" x14ac:dyDescent="0.25">
      <c r="A17" s="602"/>
      <c r="B17" s="603" t="s">
        <v>81</v>
      </c>
      <c r="C17" s="604">
        <f t="shared" ref="C17:G17" si="4">+C12+C15</f>
        <v>87861</v>
      </c>
      <c r="D17" s="604">
        <f t="shared" si="4"/>
        <v>20018</v>
      </c>
      <c r="E17" s="604">
        <f t="shared" si="4"/>
        <v>90965</v>
      </c>
      <c r="F17" s="604">
        <f t="shared" si="4"/>
        <v>97975</v>
      </c>
      <c r="G17" s="604">
        <f t="shared" si="4"/>
        <v>96311</v>
      </c>
      <c r="H17" s="604">
        <f>+H12+H15</f>
        <v>105196</v>
      </c>
      <c r="I17" s="604">
        <f>+I12+I15</f>
        <v>114185</v>
      </c>
      <c r="J17" s="604">
        <f>+J12+J15</f>
        <v>70493</v>
      </c>
      <c r="K17" s="604">
        <v>57922</v>
      </c>
      <c r="L17" s="604">
        <v>41867</v>
      </c>
      <c r="M17" s="605">
        <f>+'Tab-14 CurrentData'!O17</f>
        <v>20018</v>
      </c>
      <c r="N17" s="605">
        <f>+'Tab-14 CurrentData'!Q17</f>
        <v>39056</v>
      </c>
    </row>
    <row r="18" spans="1:14" ht="12" thickTop="1" x14ac:dyDescent="0.2">
      <c r="A18" s="606"/>
      <c r="B18" s="597"/>
      <c r="C18" s="607"/>
      <c r="D18" s="607">
        <f>+'Tab-14 CurrentData'!O18</f>
        <v>0</v>
      </c>
      <c r="E18" s="607"/>
      <c r="F18" s="607"/>
      <c r="G18" s="607"/>
      <c r="H18" s="607"/>
      <c r="I18" s="607"/>
      <c r="J18" s="607"/>
      <c r="K18" s="607"/>
      <c r="L18" s="607"/>
      <c r="M18" s="607"/>
      <c r="N18" s="607"/>
    </row>
    <row r="19" spans="1:14" ht="12" thickBot="1" x14ac:dyDescent="0.25">
      <c r="A19" s="608"/>
      <c r="B19" s="609" t="s">
        <v>82</v>
      </c>
      <c r="C19" s="610">
        <v>2088</v>
      </c>
      <c r="D19" s="610">
        <f>+'Tab-14 CurrentData'!O19</f>
        <v>1040</v>
      </c>
      <c r="E19" s="610">
        <v>2080</v>
      </c>
      <c r="F19" s="610">
        <v>2088</v>
      </c>
      <c r="G19" s="610">
        <v>2088</v>
      </c>
      <c r="H19" s="610">
        <v>2088</v>
      </c>
      <c r="I19" s="610">
        <v>2088</v>
      </c>
      <c r="J19" s="610">
        <v>2088</v>
      </c>
      <c r="K19" s="610">
        <v>2080</v>
      </c>
      <c r="L19" s="610">
        <v>2080</v>
      </c>
      <c r="M19" s="611">
        <f>+'Tab-14 CurrentData'!O19</f>
        <v>1040</v>
      </c>
      <c r="N19" s="611">
        <f>+'Tab-14 CurrentData'!Q19</f>
        <v>2096</v>
      </c>
    </row>
    <row r="20" spans="1:14" ht="12" thickTop="1" x14ac:dyDescent="0.2">
      <c r="A20" s="573"/>
      <c r="B20" s="597"/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2"/>
    </row>
    <row r="21" spans="1:14" x14ac:dyDescent="0.2">
      <c r="A21" s="573"/>
      <c r="B21" s="613"/>
      <c r="C21" s="612"/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2"/>
    </row>
    <row r="22" spans="1:14" ht="12" thickBot="1" x14ac:dyDescent="0.25">
      <c r="A22" s="614"/>
      <c r="B22" s="585" t="s">
        <v>10</v>
      </c>
      <c r="C22" s="615"/>
      <c r="D22" s="615"/>
      <c r="E22" s="615"/>
      <c r="F22" s="615"/>
      <c r="G22" s="615"/>
      <c r="H22" s="615"/>
      <c r="I22" s="615"/>
      <c r="J22" s="615"/>
      <c r="K22" s="615"/>
      <c r="L22" s="615"/>
      <c r="M22" s="615"/>
      <c r="N22" s="615"/>
    </row>
    <row r="23" spans="1:14" x14ac:dyDescent="0.2">
      <c r="A23" s="616"/>
      <c r="B23" s="617" t="s">
        <v>83</v>
      </c>
      <c r="C23" s="618">
        <v>133</v>
      </c>
      <c r="D23" s="618">
        <f>+'Tab-14 CurrentData'!O23</f>
        <v>194</v>
      </c>
      <c r="E23" s="618">
        <v>1093.5</v>
      </c>
      <c r="F23" s="618">
        <v>-32.5</v>
      </c>
      <c r="G23" s="618">
        <v>558</v>
      </c>
      <c r="H23" s="618">
        <v>1972</v>
      </c>
      <c r="I23" s="618">
        <v>572.5</v>
      </c>
      <c r="J23" s="618">
        <v>3033.5</v>
      </c>
      <c r="K23" s="618">
        <v>0</v>
      </c>
      <c r="L23" s="618">
        <v>3033.5</v>
      </c>
      <c r="M23" s="619">
        <f>+'Tab-14 CurrentData'!O23</f>
        <v>194</v>
      </c>
      <c r="N23" s="619">
        <f>+'Tab-14 CurrentData'!Q23</f>
        <v>0</v>
      </c>
    </row>
    <row r="24" spans="1:14" ht="12" thickBot="1" x14ac:dyDescent="0.25">
      <c r="A24" s="614"/>
      <c r="B24" s="620" t="s">
        <v>84</v>
      </c>
      <c r="C24" s="621">
        <v>-945</v>
      </c>
      <c r="D24" s="621">
        <f>+'Tab-14 CurrentData'!O24</f>
        <v>0</v>
      </c>
      <c r="E24" s="621">
        <v>-683.5</v>
      </c>
      <c r="F24" s="621">
        <v>-503</v>
      </c>
      <c r="G24" s="621">
        <v>-505</v>
      </c>
      <c r="H24" s="621">
        <v>-144.5</v>
      </c>
      <c r="I24" s="621">
        <v>-203</v>
      </c>
      <c r="J24" s="621">
        <v>-6</v>
      </c>
      <c r="K24" s="621">
        <v>0</v>
      </c>
      <c r="L24" s="621">
        <v>-6</v>
      </c>
      <c r="M24" s="622">
        <f>+'Tab-14 CurrentData'!O24</f>
        <v>0</v>
      </c>
      <c r="N24" s="622">
        <f>+'Tab-14 CurrentData'!Q24</f>
        <v>0</v>
      </c>
    </row>
    <row r="25" spans="1:14" ht="12" thickBot="1" x14ac:dyDescent="0.25">
      <c r="A25" s="623"/>
      <c r="B25" s="624" t="s">
        <v>12</v>
      </c>
      <c r="C25" s="625">
        <f t="shared" ref="C25" si="5">+C23+C24</f>
        <v>-812</v>
      </c>
      <c r="D25" s="625">
        <f t="shared" ref="D25:J25" si="6">+D23+D24</f>
        <v>194</v>
      </c>
      <c r="E25" s="625">
        <f t="shared" si="6"/>
        <v>410</v>
      </c>
      <c r="F25" s="625">
        <f t="shared" si="6"/>
        <v>-535.5</v>
      </c>
      <c r="G25" s="625">
        <f t="shared" si="6"/>
        <v>53</v>
      </c>
      <c r="H25" s="625">
        <f t="shared" si="6"/>
        <v>1827.5</v>
      </c>
      <c r="I25" s="625">
        <f t="shared" si="6"/>
        <v>369.5</v>
      </c>
      <c r="J25" s="625">
        <f t="shared" si="6"/>
        <v>3027.5</v>
      </c>
      <c r="K25" s="625">
        <f t="shared" ref="K25:L25" si="7">+K23+K24</f>
        <v>0</v>
      </c>
      <c r="L25" s="625">
        <f t="shared" si="7"/>
        <v>3027.5</v>
      </c>
      <c r="M25" s="625">
        <f>+'Tab-14 CurrentData'!O25</f>
        <v>194</v>
      </c>
      <c r="N25" s="625">
        <f>+'Tab-14 CurrentData'!Q25</f>
        <v>0</v>
      </c>
    </row>
    <row r="26" spans="1:14" ht="12" thickTop="1" x14ac:dyDescent="0.2">
      <c r="A26" s="626"/>
      <c r="B26" s="597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</row>
    <row r="27" spans="1:14" x14ac:dyDescent="0.2">
      <c r="A27" s="626"/>
      <c r="B27" s="597"/>
      <c r="C27" s="612"/>
      <c r="D27" s="612"/>
      <c r="E27" s="612"/>
      <c r="F27" s="612"/>
      <c r="G27" s="612"/>
      <c r="H27" s="612"/>
      <c r="I27" s="612"/>
      <c r="J27" s="612"/>
      <c r="K27" s="612"/>
      <c r="L27" s="612"/>
      <c r="M27" s="612"/>
      <c r="N27" s="612"/>
    </row>
    <row r="28" spans="1:14" x14ac:dyDescent="0.2">
      <c r="C28" s="583"/>
      <c r="D28" s="583"/>
      <c r="E28" s="583"/>
      <c r="F28" s="583"/>
      <c r="G28" s="583"/>
      <c r="H28" s="583"/>
      <c r="I28" s="583"/>
      <c r="J28" s="583"/>
      <c r="K28" s="583"/>
      <c r="L28" s="583"/>
      <c r="M28" s="583"/>
      <c r="N28" s="583"/>
    </row>
    <row r="29" spans="1:14" ht="12" thickBot="1" x14ac:dyDescent="0.25">
      <c r="A29" s="627" t="s">
        <v>85</v>
      </c>
      <c r="B29" s="585" t="s">
        <v>86</v>
      </c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</row>
    <row r="30" spans="1:14" ht="12" thickBot="1" x14ac:dyDescent="0.25">
      <c r="A30" s="628"/>
      <c r="B30" s="629" t="s">
        <v>87</v>
      </c>
      <c r="C30" s="630">
        <f t="shared" ref="C30:G30" si="8">+C31/C36</f>
        <v>1.5477183528080176</v>
      </c>
      <c r="D30" s="630">
        <f t="shared" si="8"/>
        <v>1.4771985051747694</v>
      </c>
      <c r="E30" s="630">
        <f t="shared" si="8"/>
        <v>1.7153447236572206</v>
      </c>
      <c r="F30" s="630">
        <f t="shared" si="8"/>
        <v>1.576121765807968</v>
      </c>
      <c r="G30" s="630">
        <f t="shared" si="8"/>
        <v>1.5510616692976196</v>
      </c>
      <c r="H30" s="630">
        <f>+H31/H36</f>
        <v>1.543363240940802</v>
      </c>
      <c r="I30" s="630">
        <f>+I31/I36</f>
        <v>1.5362545226319366</v>
      </c>
      <c r="J30" s="630">
        <f>+J31/J36</f>
        <v>1.6509321280301397</v>
      </c>
      <c r="K30" s="630">
        <f t="shared" ref="K30:L30" si="9">+K31/K36</f>
        <v>1.3857555843783831</v>
      </c>
      <c r="L30" s="630">
        <f t="shared" si="9"/>
        <v>1.8261320397876468</v>
      </c>
      <c r="M30" s="630">
        <f>+'Tab-14 CurrentData'!O30</f>
        <v>1.4771985051747694</v>
      </c>
      <c r="N30" s="630">
        <f>+'Tab-14 CurrentData'!Q30</f>
        <v>1.8771009256822935</v>
      </c>
    </row>
    <row r="31" spans="1:14" ht="12" thickTop="1" x14ac:dyDescent="0.2">
      <c r="A31" s="631" t="s">
        <v>88</v>
      </c>
      <c r="B31" s="597" t="s">
        <v>39</v>
      </c>
      <c r="C31" s="589">
        <v>7537008.6299999999</v>
      </c>
      <c r="D31" s="589">
        <f>+'Tab-14 CurrentData'!O31</f>
        <v>1343389.9500000002</v>
      </c>
      <c r="E31" s="589">
        <v>7401625</v>
      </c>
      <c r="F31" s="589">
        <v>7693399.9699999997</v>
      </c>
      <c r="G31" s="589">
        <v>8213326</v>
      </c>
      <c r="H31" s="589">
        <v>9588780</v>
      </c>
      <c r="I31" s="589">
        <v>8897533</v>
      </c>
      <c r="J31" s="589">
        <v>4706370</v>
      </c>
      <c r="K31" s="589">
        <v>3463782</v>
      </c>
      <c r="L31" s="589">
        <v>2418599.0499999998</v>
      </c>
      <c r="M31" s="590">
        <f>+'Tab-14 CurrentData'!O31</f>
        <v>1343389.9500000002</v>
      </c>
      <c r="N31" s="590">
        <f>+'Tab-14 CurrentData'!Q31</f>
        <v>4340772.1994463373</v>
      </c>
    </row>
    <row r="32" spans="1:14" x14ac:dyDescent="0.2">
      <c r="A32" s="631" t="s">
        <v>89</v>
      </c>
      <c r="B32" s="597" t="s">
        <v>90</v>
      </c>
      <c r="C32" s="589">
        <v>959005.94</v>
      </c>
      <c r="D32" s="589">
        <f>+'Tab-14 CurrentData'!O32</f>
        <v>264643.05000000005</v>
      </c>
      <c r="E32" s="589">
        <v>1334424</v>
      </c>
      <c r="F32" s="589">
        <v>1448094.77</v>
      </c>
      <c r="G32" s="589">
        <v>1551630</v>
      </c>
      <c r="H32" s="589">
        <v>1720430</v>
      </c>
      <c r="I32" s="589">
        <v>1245694</v>
      </c>
      <c r="J32" s="589">
        <v>823395</v>
      </c>
      <c r="K32" s="589">
        <v>404565</v>
      </c>
      <c r="L32" s="589">
        <v>561725.81000000006</v>
      </c>
      <c r="M32" s="590">
        <f>+'Tab-14 CurrentData'!O32</f>
        <v>264643.05000000005</v>
      </c>
      <c r="N32" s="590">
        <f>+'Tab-14 CurrentData'!Q32</f>
        <v>1114952.9338921194</v>
      </c>
    </row>
    <row r="33" spans="1:14" ht="12" thickBot="1" x14ac:dyDescent="0.25">
      <c r="A33" s="627" t="s">
        <v>91</v>
      </c>
      <c r="B33" s="592" t="s">
        <v>92</v>
      </c>
      <c r="C33" s="593">
        <v>2938152.67</v>
      </c>
      <c r="D33" s="593">
        <f>+'Tab-14 CurrentData'!O33</f>
        <v>528957.99</v>
      </c>
      <c r="E33" s="593">
        <v>3070155</v>
      </c>
      <c r="F33" s="593">
        <v>2714479.05</v>
      </c>
      <c r="G33" s="593">
        <v>2806402</v>
      </c>
      <c r="H33" s="593">
        <v>3463026</v>
      </c>
      <c r="I33" s="593">
        <v>3603636</v>
      </c>
      <c r="J33" s="593">
        <v>2116103</v>
      </c>
      <c r="K33" s="593">
        <v>1455734</v>
      </c>
      <c r="L33" s="593">
        <v>1288574.67</v>
      </c>
      <c r="M33" s="594">
        <f>+'Tab-14 CurrentData'!O33</f>
        <v>528957.99</v>
      </c>
      <c r="N33" s="594">
        <f>+'Tab-14 CurrentData'!Q33</f>
        <v>1519637.7547157346</v>
      </c>
    </row>
    <row r="34" spans="1:14" x14ac:dyDescent="0.2">
      <c r="A34" s="631" t="s">
        <v>93</v>
      </c>
      <c r="B34" s="597" t="s">
        <v>94</v>
      </c>
      <c r="C34" s="632">
        <f t="shared" ref="C34" si="10">+C31-C32-C33</f>
        <v>3639850.0199999996</v>
      </c>
      <c r="D34" s="632">
        <f t="shared" ref="D34:J34" si="11">+D31-D32-D33</f>
        <v>549788.91000000015</v>
      </c>
      <c r="E34" s="632">
        <f t="shared" si="11"/>
        <v>2997046</v>
      </c>
      <c r="F34" s="632">
        <f t="shared" si="11"/>
        <v>3530826.1499999994</v>
      </c>
      <c r="G34" s="632">
        <f t="shared" si="11"/>
        <v>3855294</v>
      </c>
      <c r="H34" s="632">
        <f t="shared" si="11"/>
        <v>4405324</v>
      </c>
      <c r="I34" s="632">
        <f t="shared" si="11"/>
        <v>4048203</v>
      </c>
      <c r="J34" s="632">
        <f t="shared" si="11"/>
        <v>1766872</v>
      </c>
      <c r="K34" s="632">
        <f t="shared" ref="K34:L34" si="12">+K31-K32-K33</f>
        <v>1603483</v>
      </c>
      <c r="L34" s="632">
        <f t="shared" si="12"/>
        <v>568298.56999999983</v>
      </c>
      <c r="M34" s="632">
        <f>+'Tab-14 CurrentData'!O34</f>
        <v>549788.91000000015</v>
      </c>
      <c r="N34" s="632">
        <f>+'Tab-14 CurrentData'!Q34</f>
        <v>1706181.510838483</v>
      </c>
    </row>
    <row r="35" spans="1:14" ht="12" thickBot="1" x14ac:dyDescent="0.25">
      <c r="A35" s="627" t="s">
        <v>95</v>
      </c>
      <c r="B35" s="592" t="s">
        <v>37</v>
      </c>
      <c r="C35" s="593">
        <v>1229904.6200000001</v>
      </c>
      <c r="D35" s="593">
        <f>+'Tab-14 CurrentData'!O35</f>
        <v>359628.44</v>
      </c>
      <c r="E35" s="593">
        <v>1317903</v>
      </c>
      <c r="F35" s="593">
        <v>1350395.68</v>
      </c>
      <c r="G35" s="593">
        <v>1439999</v>
      </c>
      <c r="H35" s="593">
        <v>1807588</v>
      </c>
      <c r="I35" s="593">
        <v>1743502</v>
      </c>
      <c r="J35" s="593">
        <v>1083863</v>
      </c>
      <c r="K35" s="593">
        <v>896079</v>
      </c>
      <c r="L35" s="593">
        <v>756139.64</v>
      </c>
      <c r="M35" s="594">
        <f>+'Tab-14 CurrentData'!O35</f>
        <v>359628.44</v>
      </c>
      <c r="N35" s="594">
        <f>+'Tab-14 CurrentData'!Q35</f>
        <v>606305.86800000002</v>
      </c>
    </row>
    <row r="36" spans="1:14" ht="12" thickBot="1" x14ac:dyDescent="0.25">
      <c r="A36" s="633" t="s">
        <v>97</v>
      </c>
      <c r="B36" s="634" t="s">
        <v>31</v>
      </c>
      <c r="C36" s="595">
        <f t="shared" ref="C36" si="13">+C35+C34</f>
        <v>4869754.6399999997</v>
      </c>
      <c r="D36" s="595">
        <f t="shared" ref="D36:J36" si="14">+D35+D34</f>
        <v>909417.35000000009</v>
      </c>
      <c r="E36" s="595">
        <f t="shared" si="14"/>
        <v>4314949</v>
      </c>
      <c r="F36" s="595">
        <f t="shared" si="14"/>
        <v>4881221.8299999991</v>
      </c>
      <c r="G36" s="595">
        <f t="shared" si="14"/>
        <v>5295293</v>
      </c>
      <c r="H36" s="595">
        <f t="shared" si="14"/>
        <v>6212912</v>
      </c>
      <c r="I36" s="595">
        <f t="shared" si="14"/>
        <v>5791705</v>
      </c>
      <c r="J36" s="595">
        <f t="shared" si="14"/>
        <v>2850735</v>
      </c>
      <c r="K36" s="595">
        <f t="shared" ref="K36:L36" si="15">+K35+K34</f>
        <v>2499562</v>
      </c>
      <c r="L36" s="595">
        <f t="shared" si="15"/>
        <v>1324438.21</v>
      </c>
      <c r="M36" s="595">
        <f>+'Tab-14 CurrentData'!O36</f>
        <v>909417.35000000009</v>
      </c>
      <c r="N36" s="595">
        <f>+'Tab-14 CurrentData'!Q36</f>
        <v>2312487.3788384832</v>
      </c>
    </row>
    <row r="37" spans="1:14" x14ac:dyDescent="0.2">
      <c r="A37" s="635" t="s">
        <v>98</v>
      </c>
      <c r="B37" s="636" t="s">
        <v>99</v>
      </c>
      <c r="C37" s="589">
        <v>777119.09</v>
      </c>
      <c r="D37" s="589">
        <f>+'Tab-14 CurrentData'!O37</f>
        <v>160355.09</v>
      </c>
      <c r="E37" s="589">
        <v>883233</v>
      </c>
      <c r="F37" s="589">
        <v>947784.99</v>
      </c>
      <c r="G37" s="589">
        <v>1043608</v>
      </c>
      <c r="H37" s="589">
        <v>1027246</v>
      </c>
      <c r="I37" s="589">
        <v>1306329</v>
      </c>
      <c r="J37" s="589">
        <v>965187</v>
      </c>
      <c r="K37" s="589">
        <v>704032.67</v>
      </c>
      <c r="L37" s="589">
        <v>364964.1</v>
      </c>
      <c r="M37" s="590">
        <f>+'Tab-14 CurrentData'!O37</f>
        <v>160355.09</v>
      </c>
      <c r="N37" s="590">
        <f>+'Tab-14 CurrentData'!Q37</f>
        <v>556394.72751923068</v>
      </c>
    </row>
    <row r="38" spans="1:14" ht="12" thickBot="1" x14ac:dyDescent="0.25">
      <c r="A38" s="633" t="s">
        <v>100</v>
      </c>
      <c r="B38" s="634" t="s">
        <v>101</v>
      </c>
      <c r="C38" s="593">
        <v>155589.51999999999</v>
      </c>
      <c r="D38" s="593">
        <f>+'Tab-14 CurrentData'!O38</f>
        <v>32360.57</v>
      </c>
      <c r="E38" s="593">
        <v>161158</v>
      </c>
      <c r="F38" s="593">
        <v>209964.45</v>
      </c>
      <c r="G38" s="593">
        <v>255675</v>
      </c>
      <c r="H38" s="593">
        <v>148000</v>
      </c>
      <c r="I38" s="593">
        <v>285918</v>
      </c>
      <c r="J38" s="593">
        <v>7940</v>
      </c>
      <c r="K38" s="593">
        <v>102005.69</v>
      </c>
      <c r="L38" s="593">
        <v>82876.84</v>
      </c>
      <c r="M38" s="594">
        <f>+'Tab-14 CurrentData'!O38</f>
        <v>32360.57</v>
      </c>
      <c r="N38" s="594">
        <f>+'Tab-14 CurrentData'!Q38</f>
        <v>84239.447538461536</v>
      </c>
    </row>
    <row r="39" spans="1:14" x14ac:dyDescent="0.2">
      <c r="A39" s="635" t="s">
        <v>102</v>
      </c>
      <c r="B39" s="636" t="s">
        <v>103</v>
      </c>
      <c r="C39" s="607">
        <f t="shared" ref="C39" si="16">+C38+C37</f>
        <v>932708.61</v>
      </c>
      <c r="D39" s="607">
        <f t="shared" ref="D39:J39" si="17">+D38+D37</f>
        <v>192715.66</v>
      </c>
      <c r="E39" s="607">
        <f t="shared" si="17"/>
        <v>1044391</v>
      </c>
      <c r="F39" s="607">
        <f t="shared" si="17"/>
        <v>1157749.44</v>
      </c>
      <c r="G39" s="607">
        <f t="shared" si="17"/>
        <v>1299283</v>
      </c>
      <c r="H39" s="607">
        <f t="shared" si="17"/>
        <v>1175246</v>
      </c>
      <c r="I39" s="607">
        <f t="shared" si="17"/>
        <v>1592247</v>
      </c>
      <c r="J39" s="607">
        <f t="shared" si="17"/>
        <v>973127</v>
      </c>
      <c r="K39" s="607">
        <f t="shared" ref="K39:L39" si="18">+K38+K37</f>
        <v>806038.3600000001</v>
      </c>
      <c r="L39" s="607">
        <f t="shared" si="18"/>
        <v>447840.93999999994</v>
      </c>
      <c r="M39" s="607">
        <f>+'Tab-14 CurrentData'!O39</f>
        <v>192715.66</v>
      </c>
      <c r="N39" s="607">
        <f>+'Tab-14 CurrentData'!Q39</f>
        <v>640634.17505769222</v>
      </c>
    </row>
    <row r="40" spans="1:14" ht="12" thickBot="1" x14ac:dyDescent="0.25">
      <c r="A40" s="633" t="s">
        <v>104</v>
      </c>
      <c r="B40" s="634" t="s">
        <v>54</v>
      </c>
      <c r="C40" s="595">
        <f t="shared" ref="C40" si="19">+C41-C37-C38</f>
        <v>1190841.58</v>
      </c>
      <c r="D40" s="595">
        <f t="shared" ref="D40:J40" si="20">+D41-D37-D38</f>
        <v>332764.39999999997</v>
      </c>
      <c r="E40" s="595">
        <f t="shared" si="20"/>
        <v>1388660</v>
      </c>
      <c r="F40" s="595">
        <f t="shared" si="20"/>
        <v>1341129.2800000003</v>
      </c>
      <c r="G40" s="595">
        <f t="shared" si="20"/>
        <v>1302252</v>
      </c>
      <c r="H40" s="595">
        <f t="shared" si="20"/>
        <v>1751871</v>
      </c>
      <c r="I40" s="595">
        <f t="shared" si="20"/>
        <v>1769850</v>
      </c>
      <c r="J40" s="595">
        <f t="shared" si="20"/>
        <v>1241933</v>
      </c>
      <c r="K40" s="595">
        <f t="shared" ref="K40:L40" si="21">+K41-K37-K38</f>
        <v>1068050.6400000001</v>
      </c>
      <c r="L40" s="595">
        <f t="shared" si="21"/>
        <v>794654.63000000012</v>
      </c>
      <c r="M40" s="595">
        <f>+'Tab-14 CurrentData'!O40</f>
        <v>332764.40000000002</v>
      </c>
      <c r="N40" s="595">
        <f>+'Tab-14 CurrentData'!Q40</f>
        <v>693002.10596682504</v>
      </c>
    </row>
    <row r="41" spans="1:14" ht="12" thickBot="1" x14ac:dyDescent="0.25">
      <c r="A41" s="637" t="s">
        <v>105</v>
      </c>
      <c r="B41" s="638" t="s">
        <v>106</v>
      </c>
      <c r="C41" s="639">
        <v>2123550.19</v>
      </c>
      <c r="D41" s="639">
        <f>+'Tab-14 CurrentData'!O41</f>
        <v>525480.05999999994</v>
      </c>
      <c r="E41" s="639">
        <v>2433051</v>
      </c>
      <c r="F41" s="639">
        <v>2498878.7200000002</v>
      </c>
      <c r="G41" s="639">
        <v>2601535</v>
      </c>
      <c r="H41" s="639">
        <v>2927117</v>
      </c>
      <c r="I41" s="639">
        <v>3362097</v>
      </c>
      <c r="J41" s="639">
        <v>2215060</v>
      </c>
      <c r="K41" s="639">
        <v>1874089</v>
      </c>
      <c r="L41" s="639">
        <v>1242495.57</v>
      </c>
      <c r="M41" s="640">
        <f>+'Tab-14 CurrentData'!O41</f>
        <v>525480.05999999994</v>
      </c>
      <c r="N41" s="640">
        <f>+'Tab-14 CurrentData'!Q41</f>
        <v>1333636.2810245173</v>
      </c>
    </row>
    <row r="42" spans="1:14" ht="12" thickBot="1" x14ac:dyDescent="0.25">
      <c r="A42" s="633" t="s">
        <v>107</v>
      </c>
      <c r="B42" s="634" t="s">
        <v>143</v>
      </c>
      <c r="C42" s="595">
        <f t="shared" ref="C42" si="22">+C41+C35</f>
        <v>3353454.81</v>
      </c>
      <c r="D42" s="595">
        <f t="shared" ref="D42:J42" si="23">+D41+D35</f>
        <v>885108.5</v>
      </c>
      <c r="E42" s="595">
        <f t="shared" si="23"/>
        <v>3750954</v>
      </c>
      <c r="F42" s="595">
        <f t="shared" si="23"/>
        <v>3849274.4000000004</v>
      </c>
      <c r="G42" s="595">
        <f t="shared" si="23"/>
        <v>4041534</v>
      </c>
      <c r="H42" s="595">
        <f t="shared" si="23"/>
        <v>4734705</v>
      </c>
      <c r="I42" s="595">
        <f t="shared" si="23"/>
        <v>5105599</v>
      </c>
      <c r="J42" s="595">
        <f t="shared" si="23"/>
        <v>3298923</v>
      </c>
      <c r="K42" s="595">
        <f t="shared" ref="K42:L42" si="24">+K41+K35</f>
        <v>2770168</v>
      </c>
      <c r="L42" s="595">
        <f t="shared" si="24"/>
        <v>1998635.21</v>
      </c>
      <c r="M42" s="595">
        <f>+'Tab-14 CurrentData'!O42</f>
        <v>885108.5</v>
      </c>
      <c r="N42" s="595">
        <f>+'Tab-14 CurrentData'!Q42</f>
        <v>1939942.1490245173</v>
      </c>
    </row>
    <row r="43" spans="1:14" ht="12" thickBot="1" x14ac:dyDescent="0.25">
      <c r="A43" s="641" t="s">
        <v>108</v>
      </c>
      <c r="B43" s="642" t="s">
        <v>35</v>
      </c>
      <c r="C43" s="643">
        <f t="shared" ref="C43:J43" si="25">+C36-C42</f>
        <v>1516299.8299999996</v>
      </c>
      <c r="D43" s="643">
        <f t="shared" si="25"/>
        <v>24308.850000000093</v>
      </c>
      <c r="E43" s="643">
        <f t="shared" si="25"/>
        <v>563995</v>
      </c>
      <c r="F43" s="643">
        <f t="shared" si="25"/>
        <v>1031947.4299999988</v>
      </c>
      <c r="G43" s="643">
        <f t="shared" si="25"/>
        <v>1253759</v>
      </c>
      <c r="H43" s="643">
        <f t="shared" si="25"/>
        <v>1478207</v>
      </c>
      <c r="I43" s="643">
        <f t="shared" si="25"/>
        <v>686106</v>
      </c>
      <c r="J43" s="643">
        <f t="shared" si="25"/>
        <v>-448188</v>
      </c>
      <c r="K43" s="643">
        <f t="shared" ref="K43:L43" si="26">+K36-K42</f>
        <v>-270606</v>
      </c>
      <c r="L43" s="643">
        <f t="shared" si="26"/>
        <v>-674197</v>
      </c>
      <c r="M43" s="643">
        <f>+'Tab-14 CurrentData'!O43</f>
        <v>24308.850000000006</v>
      </c>
      <c r="N43" s="643">
        <f>+'Tab-14 CurrentData'!Q43</f>
        <v>372545.22981396562</v>
      </c>
    </row>
    <row r="44" spans="1:14" ht="12.75" thickTop="1" thickBot="1" x14ac:dyDescent="0.25">
      <c r="A44" s="644"/>
      <c r="B44" s="645" t="s">
        <v>109</v>
      </c>
      <c r="C44" s="323">
        <f t="shared" ref="C44:J44" si="27">+C43/C36</f>
        <v>0.31137088869840879</v>
      </c>
      <c r="D44" s="323">
        <f t="shared" si="27"/>
        <v>2.6730136608895894E-2</v>
      </c>
      <c r="E44" s="323">
        <f t="shared" si="27"/>
        <v>0.1307072227273138</v>
      </c>
      <c r="F44" s="323">
        <f t="shared" si="27"/>
        <v>0.21141170508941998</v>
      </c>
      <c r="G44" s="323">
        <f t="shared" si="27"/>
        <v>0.23676857918910246</v>
      </c>
      <c r="H44" s="323">
        <f t="shared" si="27"/>
        <v>0.23792498590033143</v>
      </c>
      <c r="I44" s="323">
        <f t="shared" si="27"/>
        <v>0.1184635612483716</v>
      </c>
      <c r="J44" s="323">
        <f t="shared" si="27"/>
        <v>-0.1572184015701214</v>
      </c>
      <c r="K44" s="323">
        <f t="shared" ref="K44:L44" si="28">+K43/K36</f>
        <v>-0.108261367391567</v>
      </c>
      <c r="L44" s="323">
        <f t="shared" si="28"/>
        <v>-0.50904375523868339</v>
      </c>
      <c r="M44" s="323">
        <f>+'Tab-14 CurrentData'!O44</f>
        <v>2.67301366088958E-2</v>
      </c>
      <c r="N44" s="323">
        <f>+'Tab-14 CurrentData'!Q44</f>
        <v>0.16110151917935558</v>
      </c>
    </row>
    <row r="45" spans="1:14" ht="12" thickTop="1" x14ac:dyDescent="0.2">
      <c r="A45" s="626"/>
      <c r="B45" s="597"/>
      <c r="C45" s="612"/>
      <c r="D45" s="612"/>
      <c r="E45" s="612"/>
      <c r="F45" s="612"/>
      <c r="G45" s="612"/>
      <c r="H45" s="612"/>
      <c r="I45" s="612"/>
      <c r="J45" s="612"/>
      <c r="K45" s="612"/>
      <c r="L45" s="612"/>
      <c r="M45" s="612"/>
      <c r="N45" s="612"/>
    </row>
    <row r="46" spans="1:14" ht="12" thickBot="1" x14ac:dyDescent="0.25">
      <c r="A46" s="646"/>
      <c r="B46" s="585" t="s">
        <v>2</v>
      </c>
      <c r="C46" s="615"/>
      <c r="D46" s="615"/>
      <c r="E46" s="615"/>
      <c r="F46" s="615"/>
      <c r="G46" s="615"/>
      <c r="H46" s="615"/>
      <c r="I46" s="615"/>
      <c r="J46" s="615"/>
      <c r="K46" s="615"/>
      <c r="L46" s="615"/>
      <c r="M46" s="615"/>
      <c r="N46" s="615"/>
    </row>
    <row r="47" spans="1:14" s="577" customFormat="1" x14ac:dyDescent="0.2">
      <c r="A47" s="573"/>
      <c r="B47" s="577" t="s">
        <v>110</v>
      </c>
      <c r="C47" s="647"/>
      <c r="D47" s="647">
        <f>+'Tab-14 CurrentData'!O47</f>
        <v>0</v>
      </c>
      <c r="E47" s="647"/>
      <c r="F47" s="647"/>
      <c r="G47" s="647"/>
      <c r="H47" s="647"/>
      <c r="I47" s="647"/>
      <c r="J47" s="647"/>
      <c r="K47" s="647"/>
      <c r="L47" s="647"/>
      <c r="M47" s="647"/>
      <c r="N47" s="647"/>
    </row>
    <row r="48" spans="1:14" ht="12" thickBot="1" x14ac:dyDescent="0.25">
      <c r="A48" s="648"/>
      <c r="B48" s="634" t="s">
        <v>111</v>
      </c>
      <c r="C48" s="593">
        <v>38999</v>
      </c>
      <c r="D48" s="593">
        <f>+'Tab-14 CurrentData'!O48</f>
        <v>-24206.68</v>
      </c>
      <c r="E48" s="593">
        <v>39498</v>
      </c>
      <c r="F48" s="593">
        <v>35024</v>
      </c>
      <c r="G48" s="593">
        <v>90021</v>
      </c>
      <c r="H48" s="593">
        <v>64110</v>
      </c>
      <c r="I48" s="593">
        <v>-78162</v>
      </c>
      <c r="J48" s="593">
        <v>10225</v>
      </c>
      <c r="K48" s="593">
        <v>5300</v>
      </c>
      <c r="L48" s="593">
        <v>21619.56</v>
      </c>
      <c r="M48" s="593">
        <f>+'Tab-14 CurrentData'!O48</f>
        <v>-24206.68</v>
      </c>
      <c r="N48" s="593">
        <v>64110</v>
      </c>
    </row>
    <row r="49" spans="1:14" ht="12" thickBot="1" x14ac:dyDescent="0.25">
      <c r="A49" s="648"/>
      <c r="B49" s="634" t="s">
        <v>112</v>
      </c>
      <c r="C49" s="595">
        <f t="shared" ref="C49:J49" si="29">SUM(C50:C55)</f>
        <v>1879894</v>
      </c>
      <c r="D49" s="595">
        <f t="shared" si="29"/>
        <v>176131.51</v>
      </c>
      <c r="E49" s="595">
        <f t="shared" si="29"/>
        <v>2146748</v>
      </c>
      <c r="F49" s="595">
        <f t="shared" si="29"/>
        <v>1778267.35</v>
      </c>
      <c r="G49" s="595">
        <f t="shared" si="29"/>
        <v>2353349</v>
      </c>
      <c r="H49" s="595">
        <f t="shared" si="29"/>
        <v>2210125</v>
      </c>
      <c r="I49" s="595">
        <f t="shared" si="29"/>
        <v>1550224</v>
      </c>
      <c r="J49" s="595">
        <f t="shared" si="29"/>
        <v>740105</v>
      </c>
      <c r="K49" s="595">
        <v>664798</v>
      </c>
      <c r="L49" s="649">
        <f t="shared" ref="L49" si="30">SUM(L50:L55)</f>
        <v>210210.7</v>
      </c>
      <c r="M49" s="595">
        <f t="shared" ref="M49" si="31">SUM(M50:M55)</f>
        <v>176656.51</v>
      </c>
      <c r="N49" s="595">
        <v>210210.7</v>
      </c>
    </row>
    <row r="50" spans="1:14" x14ac:dyDescent="0.2">
      <c r="A50" s="650"/>
      <c r="B50" s="636" t="s">
        <v>9</v>
      </c>
      <c r="C50" s="589">
        <v>50</v>
      </c>
      <c r="D50" s="589">
        <f>+'Tab-14 CurrentData'!O50</f>
        <v>720</v>
      </c>
      <c r="E50" s="589">
        <v>100</v>
      </c>
      <c r="F50" s="589">
        <v>180</v>
      </c>
      <c r="G50" s="589">
        <v>0</v>
      </c>
      <c r="H50" s="589">
        <v>420</v>
      </c>
      <c r="I50" s="589">
        <v>540</v>
      </c>
      <c r="J50" s="589">
        <v>0</v>
      </c>
      <c r="K50" s="589">
        <v>0</v>
      </c>
      <c r="L50" s="589">
        <v>0</v>
      </c>
      <c r="M50" s="589">
        <f>+'Tab-14 CurrentData'!P50</f>
        <v>1245</v>
      </c>
      <c r="N50" s="589">
        <f>+'Tab-14 CurrentData'!Q50</f>
        <v>0</v>
      </c>
    </row>
    <row r="51" spans="1:14" x14ac:dyDescent="0.2">
      <c r="A51" s="650"/>
      <c r="B51" s="636" t="s">
        <v>6</v>
      </c>
      <c r="C51" s="589">
        <v>0</v>
      </c>
      <c r="D51" s="589">
        <f>+'Tab-14 CurrentData'!O51</f>
        <v>1851.97</v>
      </c>
      <c r="E51" s="589">
        <v>120938</v>
      </c>
      <c r="F51" s="589">
        <v>0</v>
      </c>
      <c r="G51" s="589">
        <v>0</v>
      </c>
      <c r="H51" s="589">
        <v>10</v>
      </c>
      <c r="I51" s="589">
        <v>53</v>
      </c>
      <c r="J51" s="589">
        <v>866</v>
      </c>
      <c r="K51" s="589">
        <v>866</v>
      </c>
      <c r="L51" s="589">
        <f>182.35+1681.97</f>
        <v>1864.32</v>
      </c>
      <c r="M51" s="589">
        <f>+'Tab-14 CurrentData'!O51</f>
        <v>1851.97</v>
      </c>
      <c r="N51" s="589">
        <f>+'Tab-14 CurrentData'!Q51</f>
        <v>0</v>
      </c>
    </row>
    <row r="52" spans="1:14" x14ac:dyDescent="0.2">
      <c r="A52" s="650"/>
      <c r="B52" s="636" t="s">
        <v>5</v>
      </c>
      <c r="C52" s="589">
        <v>675914</v>
      </c>
      <c r="D52" s="589">
        <f>+'Tab-14 CurrentData'!O52</f>
        <v>91119.71</v>
      </c>
      <c r="E52" s="589">
        <v>1125626</v>
      </c>
      <c r="F52" s="589">
        <v>730878</v>
      </c>
      <c r="G52" s="589">
        <v>665345</v>
      </c>
      <c r="H52" s="589">
        <v>774486</v>
      </c>
      <c r="I52" s="589">
        <v>1010472</v>
      </c>
      <c r="J52" s="589">
        <v>678057</v>
      </c>
      <c r="K52" s="589">
        <v>678057</v>
      </c>
      <c r="L52" s="589">
        <v>198013.21</v>
      </c>
      <c r="M52" s="589">
        <f>+'Tab-14 CurrentData'!O52</f>
        <v>91119.71</v>
      </c>
      <c r="N52" s="589">
        <v>2210125</v>
      </c>
    </row>
    <row r="53" spans="1:14" x14ac:dyDescent="0.2">
      <c r="A53" s="650"/>
      <c r="B53" s="636" t="s">
        <v>7</v>
      </c>
      <c r="C53" s="589">
        <v>487537</v>
      </c>
      <c r="D53" s="589">
        <f>+'Tab-14 CurrentData'!O53</f>
        <v>25869.13</v>
      </c>
      <c r="E53" s="589">
        <v>592901</v>
      </c>
      <c r="F53" s="589">
        <v>341719</v>
      </c>
      <c r="G53" s="589">
        <v>749054</v>
      </c>
      <c r="H53" s="589">
        <v>889150</v>
      </c>
      <c r="I53" s="589">
        <v>334718</v>
      </c>
      <c r="J53" s="589">
        <v>59782</v>
      </c>
      <c r="K53" s="589">
        <v>59782</v>
      </c>
      <c r="L53" s="589">
        <v>21659.279999999999</v>
      </c>
      <c r="M53" s="589">
        <f>+'Tab-14 CurrentData'!O53</f>
        <v>25869.13</v>
      </c>
      <c r="N53" s="589">
        <f>+'Tab-14 CurrentData'!Q53</f>
        <v>0</v>
      </c>
    </row>
    <row r="54" spans="1:14" x14ac:dyDescent="0.2">
      <c r="A54" s="650"/>
      <c r="B54" s="636" t="s">
        <v>8</v>
      </c>
      <c r="C54" s="589">
        <v>123737</v>
      </c>
      <c r="D54" s="589">
        <f>+'Tab-14 CurrentData'!O54</f>
        <v>45339.98</v>
      </c>
      <c r="E54" s="589">
        <v>98241</v>
      </c>
      <c r="F54" s="589">
        <v>19158</v>
      </c>
      <c r="G54" s="589">
        <v>348988</v>
      </c>
      <c r="H54" s="589">
        <v>187931</v>
      </c>
      <c r="I54" s="589">
        <v>108403</v>
      </c>
      <c r="J54" s="589">
        <v>0</v>
      </c>
      <c r="K54" s="589">
        <v>0</v>
      </c>
      <c r="L54" s="589">
        <v>41551.64</v>
      </c>
      <c r="M54" s="589">
        <f>+'Tab-14 CurrentData'!O54</f>
        <v>45339.98</v>
      </c>
      <c r="N54" s="589">
        <f>+'Tab-14 CurrentData'!Q54</f>
        <v>0</v>
      </c>
    </row>
    <row r="55" spans="1:14" ht="12" thickBot="1" x14ac:dyDescent="0.25">
      <c r="A55" s="608"/>
      <c r="B55" s="651" t="s">
        <v>113</v>
      </c>
      <c r="C55" s="610">
        <v>592656</v>
      </c>
      <c r="D55" s="610">
        <f>+'Tab-14 CurrentData'!O55</f>
        <v>11230.720000000001</v>
      </c>
      <c r="E55" s="610">
        <v>208942</v>
      </c>
      <c r="F55" s="610">
        <f>687114-781.65</f>
        <v>686332.35</v>
      </c>
      <c r="G55" s="610">
        <v>589962</v>
      </c>
      <c r="H55" s="610">
        <v>358128</v>
      </c>
      <c r="I55" s="610">
        <v>96038</v>
      </c>
      <c r="J55" s="610">
        <v>1400</v>
      </c>
      <c r="K55" s="610">
        <v>1400</v>
      </c>
      <c r="L55" s="610">
        <f>20296.1+5274.36+198.29+3927.35+7934.61+5934.86+6183.16-97771.61-4854.87</f>
        <v>-52877.750000000007</v>
      </c>
      <c r="M55" s="610">
        <f>+'Tab-14 CurrentData'!O55</f>
        <v>11230.720000000001</v>
      </c>
      <c r="N55" s="610">
        <f>+'Tab-14 CurrentData'!Q55</f>
        <v>0</v>
      </c>
    </row>
    <row r="56" spans="1:14" ht="12" thickTop="1" x14ac:dyDescent="0.2">
      <c r="A56" s="652"/>
      <c r="B56" s="653"/>
      <c r="C56" s="654"/>
      <c r="D56" s="654"/>
      <c r="E56" s="654"/>
      <c r="F56" s="654"/>
      <c r="G56" s="654"/>
      <c r="H56" s="654"/>
      <c r="I56" s="654"/>
      <c r="J56" s="654"/>
      <c r="K56" s="654"/>
      <c r="L56" s="654"/>
      <c r="M56" s="654"/>
      <c r="N56" s="654"/>
    </row>
    <row r="57" spans="1:14" ht="12" thickBot="1" x14ac:dyDescent="0.25">
      <c r="A57" s="655" t="s">
        <v>167</v>
      </c>
      <c r="C57" s="610">
        <v>165408</v>
      </c>
      <c r="D57" s="610">
        <v>284176.53000000003</v>
      </c>
      <c r="E57" s="610">
        <v>204872</v>
      </c>
      <c r="F57" s="610">
        <v>423164</v>
      </c>
      <c r="G57" s="610">
        <v>115854</v>
      </c>
      <c r="H57" s="610">
        <v>129480</v>
      </c>
      <c r="I57" s="610">
        <v>251099</v>
      </c>
      <c r="J57" s="610">
        <v>150786.64000000001</v>
      </c>
      <c r="K57" s="610">
        <v>67790</v>
      </c>
      <c r="L57" s="610">
        <v>11862.86</v>
      </c>
      <c r="M57" s="610">
        <v>14542.23</v>
      </c>
      <c r="N57" s="610">
        <v>11863</v>
      </c>
    </row>
    <row r="58" spans="1:14" ht="12" thickTop="1" x14ac:dyDescent="0.2">
      <c r="A58" s="626"/>
      <c r="B58" s="597"/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</row>
    <row r="59" spans="1:14" x14ac:dyDescent="0.2">
      <c r="A59" s="626"/>
      <c r="B59" s="597"/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2"/>
    </row>
    <row r="60" spans="1:14" ht="12" thickBot="1" x14ac:dyDescent="0.25">
      <c r="A60" s="614"/>
      <c r="B60" s="585" t="s">
        <v>13</v>
      </c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5"/>
    </row>
    <row r="61" spans="1:14" x14ac:dyDescent="0.2">
      <c r="A61" s="656"/>
      <c r="B61" s="657" t="s">
        <v>11</v>
      </c>
      <c r="C61" s="327">
        <f t="shared" ref="C61" si="32">+C23/(C12-C23)</f>
        <v>2.0739123655075628E-3</v>
      </c>
      <c r="D61" s="327">
        <f t="shared" ref="D61:J61" si="33">+D23/(D12-D23)</f>
        <v>1.2272267206477732E-2</v>
      </c>
      <c r="E61" s="327">
        <f t="shared" si="33"/>
        <v>1.6669588481443936E-2</v>
      </c>
      <c r="F61" s="327">
        <f t="shared" si="33"/>
        <v>-4.3418143440186497E-4</v>
      </c>
      <c r="G61" s="327">
        <f t="shared" si="33"/>
        <v>7.7228627185030379E-3</v>
      </c>
      <c r="H61" s="327">
        <f t="shared" si="33"/>
        <v>2.4939926647274568E-2</v>
      </c>
      <c r="I61" s="327">
        <f t="shared" si="33"/>
        <v>6.5054230797638732E-3</v>
      </c>
      <c r="J61" s="327">
        <f t="shared" si="33"/>
        <v>6.1737440343539805E-2</v>
      </c>
      <c r="K61" s="327">
        <f t="shared" ref="K61:L61" si="34">+K23/(K12-K23)</f>
        <v>0</v>
      </c>
      <c r="L61" s="327">
        <f t="shared" si="34"/>
        <v>9.8587887355985629E-2</v>
      </c>
      <c r="M61" s="327">
        <f>+'Tab-14 CurrentData'!O61</f>
        <v>1.2272267206477732E-2</v>
      </c>
      <c r="N61" s="327">
        <f>+'Tab-14 CurrentData'!Q61</f>
        <v>0</v>
      </c>
    </row>
    <row r="62" spans="1:14" ht="12" thickBot="1" x14ac:dyDescent="0.25">
      <c r="A62" s="658"/>
      <c r="B62" s="659" t="s">
        <v>14</v>
      </c>
      <c r="C62" s="309">
        <f t="shared" ref="C62" si="35">+C24/(C15-C24)</f>
        <v>-3.8503850385038507E-2</v>
      </c>
      <c r="D62" s="309">
        <f t="shared" ref="D62:J62" si="36">+D24/(D15-D24)</f>
        <v>0</v>
      </c>
      <c r="E62" s="309">
        <f t="shared" si="36"/>
        <v>-2.7387654518862822E-2</v>
      </c>
      <c r="F62" s="309">
        <f t="shared" si="36"/>
        <v>-2.1262205689647883E-2</v>
      </c>
      <c r="G62" s="309">
        <f t="shared" si="36"/>
        <v>-2.1037283899187669E-2</v>
      </c>
      <c r="H62" s="309">
        <f t="shared" si="36"/>
        <v>-5.9468691483013352E-3</v>
      </c>
      <c r="I62" s="309">
        <f t="shared" si="36"/>
        <v>-7.8645591197892446E-3</v>
      </c>
      <c r="J62" s="309">
        <f t="shared" si="36"/>
        <v>-3.2733224222585927E-4</v>
      </c>
      <c r="K62" s="309">
        <f t="shared" ref="K62:L62" si="37">+K24/(K15-K24)</f>
        <v>0</v>
      </c>
      <c r="L62" s="309">
        <f t="shared" si="37"/>
        <v>-7.4349442379182155E-4</v>
      </c>
      <c r="M62" s="309">
        <f>+'Tab-14 CurrentData'!O62</f>
        <v>0</v>
      </c>
      <c r="N62" s="309">
        <f>+'Tab-14 CurrentData'!Q62</f>
        <v>0</v>
      </c>
    </row>
    <row r="63" spans="1:14" ht="12" thickBot="1" x14ac:dyDescent="0.25">
      <c r="A63" s="660"/>
      <c r="B63" s="661" t="s">
        <v>15</v>
      </c>
      <c r="C63" s="310">
        <f t="shared" ref="C63" si="38">+C25/(C17-C25)</f>
        <v>-9.1572406482243757E-3</v>
      </c>
      <c r="D63" s="310">
        <f t="shared" ref="D63:J63" si="39">+D25/(D17-D25)</f>
        <v>9.7861178369652944E-3</v>
      </c>
      <c r="E63" s="310">
        <f t="shared" si="39"/>
        <v>4.5276351388658827E-3</v>
      </c>
      <c r="F63" s="310">
        <f t="shared" si="39"/>
        <v>-5.4359687545997631E-3</v>
      </c>
      <c r="G63" s="310">
        <f t="shared" si="39"/>
        <v>5.5060358619543311E-4</v>
      </c>
      <c r="H63" s="310">
        <f t="shared" si="39"/>
        <v>1.7679467149083136E-2</v>
      </c>
      <c r="I63" s="310">
        <f t="shared" si="39"/>
        <v>3.24648224538837E-3</v>
      </c>
      <c r="J63" s="310">
        <f t="shared" si="39"/>
        <v>4.4874787854533055E-2</v>
      </c>
      <c r="K63" s="310">
        <f t="shared" ref="K63:L63" si="40">+K25/(K17-K25)</f>
        <v>0</v>
      </c>
      <c r="L63" s="310">
        <f t="shared" si="40"/>
        <v>7.7948995223934392E-2</v>
      </c>
      <c r="M63" s="310">
        <f>+'Tab-14 CurrentData'!O63</f>
        <v>9.7861178369652944E-3</v>
      </c>
      <c r="N63" s="310">
        <f>+'Tab-14 CurrentData'!Q63</f>
        <v>0</v>
      </c>
    </row>
    <row r="64" spans="1:14" ht="12" thickTop="1" x14ac:dyDescent="0.2">
      <c r="A64" s="626"/>
      <c r="B64" s="597"/>
      <c r="C64" s="612"/>
      <c r="D64" s="612"/>
      <c r="E64" s="612"/>
      <c r="F64" s="612"/>
      <c r="G64" s="612"/>
      <c r="H64" s="612"/>
      <c r="I64" s="612"/>
      <c r="J64" s="612"/>
      <c r="K64" s="612"/>
      <c r="L64" s="612"/>
      <c r="M64" s="612"/>
      <c r="N64" s="612"/>
    </row>
    <row r="65" spans="1:14" x14ac:dyDescent="0.2">
      <c r="A65" s="626"/>
      <c r="B65" s="662"/>
      <c r="C65" s="612"/>
      <c r="D65" s="612"/>
      <c r="E65" s="612"/>
      <c r="F65" s="612"/>
      <c r="G65" s="612"/>
      <c r="H65" s="612"/>
      <c r="I65" s="612"/>
      <c r="J65" s="612"/>
      <c r="K65" s="612"/>
      <c r="L65" s="612"/>
      <c r="M65" s="612"/>
      <c r="N65" s="612"/>
    </row>
    <row r="66" spans="1:14" ht="12" thickBot="1" x14ac:dyDescent="0.25">
      <c r="A66" s="584"/>
      <c r="B66" s="585" t="s">
        <v>16</v>
      </c>
      <c r="C66" s="615"/>
      <c r="D66" s="615"/>
      <c r="E66" s="615"/>
      <c r="F66" s="615"/>
      <c r="G66" s="615"/>
      <c r="H66" s="615"/>
      <c r="I66" s="615"/>
      <c r="J66" s="615"/>
      <c r="K66" s="615"/>
      <c r="L66" s="615"/>
      <c r="M66" s="615"/>
      <c r="N66" s="615"/>
    </row>
    <row r="67" spans="1:14" x14ac:dyDescent="0.2">
      <c r="A67" s="573"/>
      <c r="B67" s="597" t="s">
        <v>114</v>
      </c>
      <c r="C67" s="663">
        <f t="shared" ref="C67" si="41">+C69-C68</f>
        <v>30.713601532567051</v>
      </c>
      <c r="D67" s="663">
        <f t="shared" ref="D67:J67" si="42">+D69-D68</f>
        <v>15.200000000000001</v>
      </c>
      <c r="E67" s="663">
        <f t="shared" si="42"/>
        <v>31.537740384615386</v>
      </c>
      <c r="F67" s="663">
        <f t="shared" si="42"/>
        <v>35.849377394636015</v>
      </c>
      <c r="G67" s="663">
        <f t="shared" si="42"/>
        <v>34.60392720306514</v>
      </c>
      <c r="H67" s="663">
        <f t="shared" si="42"/>
        <v>37.868773946360157</v>
      </c>
      <c r="I67" s="663">
        <f t="shared" si="42"/>
        <v>42.147270114942529</v>
      </c>
      <c r="J67" s="663">
        <f t="shared" si="42"/>
        <v>23.532327586206897</v>
      </c>
      <c r="K67" s="663">
        <f t="shared" ref="K67:L67" si="43">+K69-K68</f>
        <v>20.761057692307691</v>
      </c>
      <c r="L67" s="663">
        <f t="shared" si="43"/>
        <v>14.793028846153847</v>
      </c>
      <c r="M67" s="663">
        <f>+'Tab-14 CurrentData'!O67</f>
        <v>15.200000000000001</v>
      </c>
      <c r="N67" s="663">
        <f>+'Tab-14 CurrentData'!Q67</f>
        <v>14.488549618320612</v>
      </c>
    </row>
    <row r="68" spans="1:14" ht="12" thickBot="1" x14ac:dyDescent="0.25">
      <c r="A68" s="584"/>
      <c r="B68" s="592" t="s">
        <v>115</v>
      </c>
      <c r="C68" s="664">
        <f t="shared" ref="C68" si="44">+C23/C19</f>
        <v>6.3697318007662831E-2</v>
      </c>
      <c r="D68" s="664">
        <f t="shared" ref="D68:J68" si="45">+D23/D19</f>
        <v>0.18653846153846154</v>
      </c>
      <c r="E68" s="664">
        <f t="shared" si="45"/>
        <v>0.52572115384615381</v>
      </c>
      <c r="F68" s="664">
        <f t="shared" si="45"/>
        <v>-1.5565134099616858E-2</v>
      </c>
      <c r="G68" s="664">
        <f t="shared" si="45"/>
        <v>0.26724137931034481</v>
      </c>
      <c r="H68" s="664">
        <f t="shared" si="45"/>
        <v>0.94444444444444442</v>
      </c>
      <c r="I68" s="664">
        <f t="shared" si="45"/>
        <v>0.27418582375478928</v>
      </c>
      <c r="J68" s="664">
        <f t="shared" si="45"/>
        <v>1.4528256704980842</v>
      </c>
      <c r="K68" s="664">
        <f t="shared" ref="K68:L68" si="46">+K23/K19</f>
        <v>0</v>
      </c>
      <c r="L68" s="664">
        <f t="shared" si="46"/>
        <v>1.4584134615384616</v>
      </c>
      <c r="M68" s="664">
        <f>+'Tab-14 CurrentData'!O68</f>
        <v>0.18653846153846154</v>
      </c>
      <c r="N68" s="664">
        <f>+'Tab-14 CurrentData'!Q68</f>
        <v>0</v>
      </c>
    </row>
    <row r="69" spans="1:14" ht="12" thickBot="1" x14ac:dyDescent="0.25">
      <c r="A69" s="584"/>
      <c r="B69" s="620" t="s">
        <v>116</v>
      </c>
      <c r="C69" s="664">
        <f t="shared" ref="C69" si="47">+C12/C19</f>
        <v>30.777298850574713</v>
      </c>
      <c r="D69" s="664">
        <f t="shared" ref="D69:J69" si="48">+D12/D19</f>
        <v>15.386538461538462</v>
      </c>
      <c r="E69" s="664">
        <f t="shared" si="48"/>
        <v>32.063461538461539</v>
      </c>
      <c r="F69" s="664">
        <f t="shared" si="48"/>
        <v>35.833812260536398</v>
      </c>
      <c r="G69" s="664">
        <f t="shared" si="48"/>
        <v>34.871168582375482</v>
      </c>
      <c r="H69" s="664">
        <f t="shared" si="48"/>
        <v>38.8132183908046</v>
      </c>
      <c r="I69" s="664">
        <f t="shared" si="48"/>
        <v>42.421455938697321</v>
      </c>
      <c r="J69" s="664">
        <f t="shared" si="48"/>
        <v>24.985153256704979</v>
      </c>
      <c r="K69" s="664">
        <f t="shared" ref="K69:L69" si="49">+K12/K19</f>
        <v>20.761057692307691</v>
      </c>
      <c r="L69" s="664">
        <f t="shared" si="49"/>
        <v>16.251442307692308</v>
      </c>
      <c r="M69" s="664">
        <f>+'Tab-14 CurrentData'!O69</f>
        <v>15.386538461538462</v>
      </c>
      <c r="N69" s="664">
        <f>+'Tab-14 CurrentData'!Q69</f>
        <v>14.488549618320612</v>
      </c>
    </row>
    <row r="70" spans="1:14" x14ac:dyDescent="0.2">
      <c r="B70" s="665" t="s">
        <v>117</v>
      </c>
      <c r="C70" s="666">
        <f t="shared" ref="C70" si="50">+C72-C71</f>
        <v>11.754310344827585</v>
      </c>
      <c r="D70" s="666">
        <f t="shared" ref="D70:J70" si="51">+D72-D71</f>
        <v>3.8615384615384616</v>
      </c>
      <c r="E70" s="666">
        <f t="shared" si="51"/>
        <v>11.998317307692307</v>
      </c>
      <c r="F70" s="666">
        <f t="shared" si="51"/>
        <v>11.329980842911876</v>
      </c>
      <c r="G70" s="666">
        <f t="shared" si="51"/>
        <v>11.496647509578544</v>
      </c>
      <c r="H70" s="666">
        <f t="shared" si="51"/>
        <v>11.637212643678161</v>
      </c>
      <c r="I70" s="666">
        <f t="shared" si="51"/>
        <v>12.36206896551724</v>
      </c>
      <c r="J70" s="666">
        <f t="shared" si="51"/>
        <v>8.7787356321839081</v>
      </c>
      <c r="K70" s="666">
        <f t="shared" ref="K70:L70" si="52">+K72-K71</f>
        <v>7.0860576923076923</v>
      </c>
      <c r="L70" s="666">
        <f t="shared" si="52"/>
        <v>3.8798076923076925</v>
      </c>
      <c r="M70" s="666">
        <f>+'Tab-14 CurrentData'!O70</f>
        <v>3.8615384615384616</v>
      </c>
      <c r="N70" s="666">
        <f>+'Tab-14 CurrentData'!Q70</f>
        <v>4.1450381679389317</v>
      </c>
    </row>
    <row r="71" spans="1:14" ht="12" thickBot="1" x14ac:dyDescent="0.25">
      <c r="A71" s="584"/>
      <c r="B71" s="620" t="s">
        <v>118</v>
      </c>
      <c r="C71" s="664">
        <f t="shared" ref="C71" si="53">+C24/C19</f>
        <v>-0.45258620689655171</v>
      </c>
      <c r="D71" s="664">
        <f t="shared" ref="D71:J71" si="54">+D24/D19</f>
        <v>0</v>
      </c>
      <c r="E71" s="664">
        <f t="shared" si="54"/>
        <v>-0.32860576923076923</v>
      </c>
      <c r="F71" s="664">
        <f t="shared" si="54"/>
        <v>-0.24090038314176246</v>
      </c>
      <c r="G71" s="664">
        <f t="shared" si="54"/>
        <v>-0.24185823754789271</v>
      </c>
      <c r="H71" s="664">
        <f t="shared" si="54"/>
        <v>-6.9204980842911878E-2</v>
      </c>
      <c r="I71" s="664">
        <f t="shared" si="54"/>
        <v>-9.7222222222222224E-2</v>
      </c>
      <c r="J71" s="664">
        <f t="shared" si="54"/>
        <v>-2.8735632183908046E-3</v>
      </c>
      <c r="K71" s="664">
        <f t="shared" ref="K71:L71" si="55">+K24/K19</f>
        <v>0</v>
      </c>
      <c r="L71" s="664">
        <f t="shared" si="55"/>
        <v>-2.8846153846153848E-3</v>
      </c>
      <c r="M71" s="664">
        <f>+'Tab-14 CurrentData'!O71</f>
        <v>0</v>
      </c>
      <c r="N71" s="664">
        <f>+'Tab-14 CurrentData'!Q71</f>
        <v>0</v>
      </c>
    </row>
    <row r="72" spans="1:14" ht="12" thickBot="1" x14ac:dyDescent="0.25">
      <c r="A72" s="584"/>
      <c r="B72" s="620" t="s">
        <v>119</v>
      </c>
      <c r="C72" s="664">
        <f t="shared" ref="C72" si="56">+C15/C19</f>
        <v>11.301724137931034</v>
      </c>
      <c r="D72" s="664">
        <f t="shared" ref="D72:J72" si="57">+D15/D19</f>
        <v>3.8615384615384616</v>
      </c>
      <c r="E72" s="664">
        <f t="shared" si="57"/>
        <v>11.669711538461538</v>
      </c>
      <c r="F72" s="664">
        <f t="shared" si="57"/>
        <v>11.089080459770114</v>
      </c>
      <c r="G72" s="664">
        <f t="shared" si="57"/>
        <v>11.254789272030651</v>
      </c>
      <c r="H72" s="664">
        <f t="shared" si="57"/>
        <v>11.56800766283525</v>
      </c>
      <c r="I72" s="664">
        <f t="shared" si="57"/>
        <v>12.264846743295019</v>
      </c>
      <c r="J72" s="664">
        <f t="shared" si="57"/>
        <v>8.7758620689655178</v>
      </c>
      <c r="K72" s="664">
        <f t="shared" ref="K72:L72" si="58">+K15/K19</f>
        <v>7.0860576923076923</v>
      </c>
      <c r="L72" s="664">
        <f t="shared" si="58"/>
        <v>3.8769230769230769</v>
      </c>
      <c r="M72" s="664">
        <f>+'Tab-14 CurrentData'!O72</f>
        <v>3.8615384615384616</v>
      </c>
      <c r="N72" s="664">
        <f>+'Tab-14 CurrentData'!Q72</f>
        <v>4.1450381679389317</v>
      </c>
    </row>
    <row r="73" spans="1:14" ht="12" thickBot="1" x14ac:dyDescent="0.25">
      <c r="A73" s="667"/>
      <c r="B73" s="624" t="s">
        <v>19</v>
      </c>
      <c r="C73" s="668">
        <f t="shared" ref="C73" si="59">+C69+C72</f>
        <v>42.079022988505749</v>
      </c>
      <c r="D73" s="668">
        <f t="shared" ref="D73:J73" si="60">+D69+D72</f>
        <v>19.248076923076923</v>
      </c>
      <c r="E73" s="668">
        <f t="shared" si="60"/>
        <v>43.73317307692308</v>
      </c>
      <c r="F73" s="668">
        <f t="shared" si="60"/>
        <v>46.922892720306514</v>
      </c>
      <c r="G73" s="668">
        <f t="shared" si="60"/>
        <v>46.125957854406131</v>
      </c>
      <c r="H73" s="668">
        <f t="shared" si="60"/>
        <v>50.38122605363985</v>
      </c>
      <c r="I73" s="668">
        <f t="shared" si="60"/>
        <v>54.686302681992338</v>
      </c>
      <c r="J73" s="668">
        <f t="shared" si="60"/>
        <v>33.761015325670499</v>
      </c>
      <c r="K73" s="668">
        <f t="shared" ref="K73:L73" si="61">+K69+K72</f>
        <v>27.847115384615385</v>
      </c>
      <c r="L73" s="668">
        <f t="shared" si="61"/>
        <v>20.128365384615385</v>
      </c>
      <c r="M73" s="668">
        <f>+'Tab-14 CurrentData'!O73</f>
        <v>19.248076923076923</v>
      </c>
      <c r="N73" s="668">
        <f>+'Tab-14 CurrentData'!Q73</f>
        <v>18.633587786259543</v>
      </c>
    </row>
    <row r="74" spans="1:14" ht="12" thickTop="1" x14ac:dyDescent="0.2">
      <c r="A74" s="573"/>
      <c r="B74" s="617"/>
      <c r="C74" s="666"/>
      <c r="D74" s="666"/>
      <c r="E74" s="666"/>
      <c r="F74" s="666"/>
      <c r="G74" s="666"/>
      <c r="H74" s="666"/>
      <c r="I74" s="666"/>
      <c r="J74" s="666"/>
      <c r="K74" s="666"/>
      <c r="L74" s="666"/>
      <c r="M74" s="666"/>
      <c r="N74" s="666"/>
    </row>
    <row r="75" spans="1:14" ht="12" thickBot="1" x14ac:dyDescent="0.25">
      <c r="A75" s="669"/>
      <c r="B75" s="670" t="s">
        <v>24</v>
      </c>
      <c r="C75" s="668">
        <f t="shared" ref="C75" si="62">C12/C15</f>
        <v>2.7232392575642002</v>
      </c>
      <c r="D75" s="668">
        <f t="shared" ref="D75:J75" si="63">D12/D15</f>
        <v>3.9845617529880477</v>
      </c>
      <c r="E75" s="668">
        <f t="shared" si="63"/>
        <v>2.747579615210316</v>
      </c>
      <c r="F75" s="668">
        <f t="shared" si="63"/>
        <v>3.231450289366848</v>
      </c>
      <c r="G75" s="668">
        <f t="shared" si="63"/>
        <v>3.0983404255319149</v>
      </c>
      <c r="H75" s="668">
        <f t="shared" si="63"/>
        <v>3.3552206673842844</v>
      </c>
      <c r="I75" s="668">
        <f t="shared" si="63"/>
        <v>3.4587840212425318</v>
      </c>
      <c r="J75" s="668">
        <f t="shared" si="63"/>
        <v>2.8470312158917266</v>
      </c>
      <c r="K75" s="668">
        <f t="shared" ref="K75:L75" si="64">K12/K15</f>
        <v>2.9298459868376416</v>
      </c>
      <c r="L75" s="668">
        <f t="shared" si="64"/>
        <v>4.1918402777777777</v>
      </c>
      <c r="M75" s="668">
        <f>+'Tab-14 CurrentData'!O75</f>
        <v>3.9845617529880477</v>
      </c>
      <c r="N75" s="668">
        <f>+'Tab-14 CurrentData'!Q75</f>
        <v>3.4953959484346226</v>
      </c>
    </row>
    <row r="76" spans="1:14" ht="12" thickTop="1" x14ac:dyDescent="0.2">
      <c r="A76" s="573"/>
      <c r="B76" s="617"/>
      <c r="C76" s="671"/>
      <c r="D76" s="671"/>
      <c r="E76" s="671"/>
      <c r="F76" s="671"/>
      <c r="G76" s="671"/>
      <c r="H76" s="671"/>
      <c r="I76" s="671"/>
      <c r="J76" s="671"/>
      <c r="K76" s="671"/>
      <c r="L76" s="671"/>
      <c r="M76" s="671"/>
      <c r="N76" s="671"/>
    </row>
    <row r="77" spans="1:14" x14ac:dyDescent="0.2">
      <c r="A77" s="573"/>
      <c r="B77" s="617"/>
      <c r="C77" s="672"/>
      <c r="D77" s="672"/>
      <c r="E77" s="672"/>
      <c r="F77" s="672"/>
      <c r="G77" s="672"/>
      <c r="H77" s="672"/>
      <c r="I77" s="672"/>
      <c r="J77" s="672"/>
      <c r="K77" s="672"/>
      <c r="L77" s="672"/>
      <c r="M77" s="672"/>
      <c r="N77" s="672"/>
    </row>
    <row r="78" spans="1:14" ht="12" thickBot="1" x14ac:dyDescent="0.25">
      <c r="A78" s="584"/>
      <c r="B78" s="673" t="s">
        <v>20</v>
      </c>
      <c r="C78" s="674"/>
      <c r="D78" s="674"/>
      <c r="E78" s="674"/>
      <c r="F78" s="674"/>
      <c r="G78" s="674"/>
      <c r="H78" s="674"/>
      <c r="I78" s="674"/>
      <c r="J78" s="674"/>
      <c r="K78" s="674"/>
      <c r="L78" s="674"/>
      <c r="M78" s="674"/>
      <c r="N78" s="674"/>
    </row>
    <row r="79" spans="1:14" x14ac:dyDescent="0.2">
      <c r="A79" s="573"/>
      <c r="B79" s="617" t="s">
        <v>21</v>
      </c>
      <c r="C79" s="666">
        <f t="shared" ref="C79" si="65">+C81-C80</f>
        <v>42.467911877394634</v>
      </c>
      <c r="D79" s="666">
        <f t="shared" ref="D79:J79" si="66">+D81-D80</f>
        <v>19.061538461538461</v>
      </c>
      <c r="E79" s="666">
        <f t="shared" si="66"/>
        <v>43.536057692307693</v>
      </c>
      <c r="F79" s="666">
        <f t="shared" si="66"/>
        <v>47.179358237547895</v>
      </c>
      <c r="G79" s="666">
        <f t="shared" si="66"/>
        <v>46.100574712643677</v>
      </c>
      <c r="H79" s="666">
        <f t="shared" si="66"/>
        <v>49.505986590038319</v>
      </c>
      <c r="I79" s="666">
        <f t="shared" si="66"/>
        <v>54.509339080459768</v>
      </c>
      <c r="J79" s="666">
        <f t="shared" si="66"/>
        <v>32.311063218390807</v>
      </c>
      <c r="K79" s="666">
        <f t="shared" ref="K79:L79" si="67">+K81-K80</f>
        <v>27.847115384615385</v>
      </c>
      <c r="L79" s="666">
        <f t="shared" si="67"/>
        <v>18.672836538461539</v>
      </c>
      <c r="M79" s="666">
        <f>+'Tab-14 CurrentData'!O79</f>
        <v>19.061538461538461</v>
      </c>
      <c r="N79" s="666">
        <f>+'Tab-14 CurrentData'!Q79</f>
        <v>18.633587786259543</v>
      </c>
    </row>
    <row r="80" spans="1:14" ht="12" thickBot="1" x14ac:dyDescent="0.25">
      <c r="A80" s="584"/>
      <c r="B80" s="620" t="s">
        <v>22</v>
      </c>
      <c r="C80" s="664">
        <f t="shared" ref="C80" si="68">+C25/C19</f>
        <v>-0.3888888888888889</v>
      </c>
      <c r="D80" s="664">
        <f t="shared" ref="D80:J80" si="69">+D25/D19</f>
        <v>0.18653846153846154</v>
      </c>
      <c r="E80" s="664">
        <f t="shared" si="69"/>
        <v>0.19711538461538461</v>
      </c>
      <c r="F80" s="664">
        <f t="shared" si="69"/>
        <v>-0.25646551724137934</v>
      </c>
      <c r="G80" s="664">
        <f t="shared" si="69"/>
        <v>2.5383141762452106E-2</v>
      </c>
      <c r="H80" s="664">
        <f t="shared" si="69"/>
        <v>0.8752394636015326</v>
      </c>
      <c r="I80" s="664">
        <f t="shared" si="69"/>
        <v>0.17696360153256704</v>
      </c>
      <c r="J80" s="664">
        <f t="shared" si="69"/>
        <v>1.4499521072796935</v>
      </c>
      <c r="K80" s="664">
        <f t="shared" ref="K80:L80" si="70">+K25/K19</f>
        <v>0</v>
      </c>
      <c r="L80" s="664">
        <f t="shared" si="70"/>
        <v>1.4555288461538463</v>
      </c>
      <c r="M80" s="664">
        <f>+'Tab-14 CurrentData'!O80</f>
        <v>0.18653846153846154</v>
      </c>
      <c r="N80" s="664">
        <f>+'Tab-14 CurrentData'!Q80</f>
        <v>0</v>
      </c>
    </row>
    <row r="81" spans="1:14" ht="12" thickBot="1" x14ac:dyDescent="0.25">
      <c r="A81" s="667"/>
      <c r="B81" s="624" t="s">
        <v>23</v>
      </c>
      <c r="C81" s="675">
        <f t="shared" ref="C81" si="71">+C17/C19</f>
        <v>42.079022988505749</v>
      </c>
      <c r="D81" s="675">
        <f t="shared" ref="D81:J81" si="72">+D17/D19</f>
        <v>19.248076923076923</v>
      </c>
      <c r="E81" s="675">
        <f t="shared" si="72"/>
        <v>43.73317307692308</v>
      </c>
      <c r="F81" s="675">
        <f t="shared" si="72"/>
        <v>46.922892720306514</v>
      </c>
      <c r="G81" s="675">
        <f t="shared" si="72"/>
        <v>46.125957854406131</v>
      </c>
      <c r="H81" s="675">
        <f t="shared" si="72"/>
        <v>50.38122605363985</v>
      </c>
      <c r="I81" s="675">
        <f t="shared" si="72"/>
        <v>54.686302681992338</v>
      </c>
      <c r="J81" s="675">
        <f t="shared" si="72"/>
        <v>33.761015325670499</v>
      </c>
      <c r="K81" s="675">
        <f t="shared" ref="K81:L81" si="73">+K17/K19</f>
        <v>27.847115384615385</v>
      </c>
      <c r="L81" s="675">
        <f t="shared" si="73"/>
        <v>20.128365384615385</v>
      </c>
      <c r="M81" s="675">
        <f>+'Tab-14 CurrentData'!O81</f>
        <v>19.248076923076923</v>
      </c>
      <c r="N81" s="675">
        <f>+'Tab-14 CurrentData'!Q81</f>
        <v>18.633587786259543</v>
      </c>
    </row>
    <row r="82" spans="1:14" ht="12" thickTop="1" x14ac:dyDescent="0.2">
      <c r="A82" s="573"/>
      <c r="B82" s="617"/>
      <c r="C82" s="672"/>
      <c r="D82" s="672"/>
      <c r="E82" s="672"/>
      <c r="F82" s="672"/>
      <c r="G82" s="672"/>
      <c r="H82" s="672"/>
      <c r="I82" s="672"/>
      <c r="J82" s="672"/>
      <c r="K82" s="672"/>
      <c r="L82" s="672"/>
      <c r="M82" s="672"/>
      <c r="N82" s="672"/>
    </row>
    <row r="83" spans="1:14" x14ac:dyDescent="0.2">
      <c r="A83" s="573"/>
      <c r="B83" s="617"/>
      <c r="C83" s="672"/>
      <c r="D83" s="672"/>
      <c r="E83" s="672"/>
      <c r="F83" s="672"/>
      <c r="G83" s="672"/>
      <c r="H83" s="672"/>
      <c r="I83" s="672"/>
      <c r="J83" s="672"/>
      <c r="K83" s="672"/>
      <c r="L83" s="672"/>
      <c r="M83" s="672"/>
      <c r="N83" s="672"/>
    </row>
    <row r="84" spans="1:14" ht="12" thickBot="1" x14ac:dyDescent="0.25">
      <c r="A84" s="584"/>
      <c r="B84" s="585" t="s">
        <v>25</v>
      </c>
      <c r="C84" s="615"/>
      <c r="D84" s="615"/>
      <c r="E84" s="615"/>
      <c r="F84" s="615"/>
      <c r="G84" s="615"/>
      <c r="H84" s="615"/>
      <c r="I84" s="615"/>
      <c r="J84" s="615"/>
      <c r="K84" s="615"/>
      <c r="L84" s="615"/>
      <c r="M84" s="615"/>
      <c r="N84" s="615"/>
    </row>
    <row r="85" spans="1:14" x14ac:dyDescent="0.2">
      <c r="B85" s="588" t="s">
        <v>26</v>
      </c>
      <c r="C85" s="676">
        <f t="shared" ref="C85" si="74">+C100/C102</f>
        <v>0.56871224264174136</v>
      </c>
      <c r="D85" s="676">
        <f t="shared" ref="D85:J85" si="75">+D100/D102</f>
        <v>0.65109492434154725</v>
      </c>
      <c r="E85" s="676">
        <f t="shared" si="75"/>
        <v>0.55789118543246519</v>
      </c>
      <c r="F85" s="676">
        <f t="shared" si="75"/>
        <v>0.53840412551567185</v>
      </c>
      <c r="G85" s="676">
        <f t="shared" si="75"/>
        <v>0.52568483274084232</v>
      </c>
      <c r="H85" s="676">
        <f t="shared" si="75"/>
        <v>0.60599684729354697</v>
      </c>
      <c r="I85" s="676">
        <f t="shared" si="75"/>
        <v>0.52267181973224008</v>
      </c>
      <c r="J85" s="676">
        <f t="shared" si="75"/>
        <v>0.52691700008264508</v>
      </c>
      <c r="K85" s="676">
        <f t="shared" ref="K85:L85" si="76">+K100/K102</f>
        <v>0.5264495980465177</v>
      </c>
      <c r="L85" s="676">
        <f t="shared" si="76"/>
        <v>0.62803308671307634</v>
      </c>
      <c r="M85" s="676">
        <f>+'Tab-14 CurrentData'!O85</f>
        <v>0.65109492434154725</v>
      </c>
      <c r="N85" s="676">
        <f>+'Tab-14 CurrentData'!Q85</f>
        <v>0.4862349808842798</v>
      </c>
    </row>
    <row r="86" spans="1:14" x14ac:dyDescent="0.2">
      <c r="B86" s="588" t="s">
        <v>27</v>
      </c>
      <c r="C86" s="676">
        <f t="shared" ref="C86" si="77">+C9/(C17-C25)</f>
        <v>0.53031926290979214</v>
      </c>
      <c r="D86" s="676">
        <f t="shared" ref="D86:J86" si="78">+D9/(D17-D25)</f>
        <v>0.57248789346246975</v>
      </c>
      <c r="E86" s="676">
        <f t="shared" si="78"/>
        <v>0.5244989233062779</v>
      </c>
      <c r="F86" s="676">
        <f t="shared" si="78"/>
        <v>0.50467716639343019</v>
      </c>
      <c r="G86" s="676">
        <f t="shared" si="78"/>
        <v>0.50233746805460322</v>
      </c>
      <c r="H86" s="676">
        <f t="shared" si="78"/>
        <v>0.57111208927284429</v>
      </c>
      <c r="I86" s="676">
        <f t="shared" si="78"/>
        <v>0.49982647354710036</v>
      </c>
      <c r="J86" s="676">
        <f t="shared" si="78"/>
        <v>0.50658484706998397</v>
      </c>
      <c r="K86" s="676">
        <f t="shared" ref="K86:L86" si="79">+K9/(K17-K25)</f>
        <v>0.48292531335243949</v>
      </c>
      <c r="L86" s="676">
        <f t="shared" si="79"/>
        <v>0.58790664143462201</v>
      </c>
      <c r="M86" s="676">
        <f>+'Tab-14 CurrentData'!O86</f>
        <v>0.57248789346246975</v>
      </c>
      <c r="N86" s="676">
        <f>+'Tab-14 CurrentData'!Q86</f>
        <v>0.57783695206882424</v>
      </c>
    </row>
    <row r="87" spans="1:14" x14ac:dyDescent="0.2">
      <c r="B87" s="588" t="s">
        <v>28</v>
      </c>
      <c r="C87" s="676">
        <f t="shared" ref="C87" si="80">+C9/C17</f>
        <v>0.53522040495783108</v>
      </c>
      <c r="D87" s="676">
        <f t="shared" ref="D87:J87" si="81">+D9/D17</f>
        <v>0.56693975422120091</v>
      </c>
      <c r="E87" s="676">
        <f t="shared" si="81"/>
        <v>0.52213488704446764</v>
      </c>
      <c r="F87" s="676">
        <f t="shared" si="81"/>
        <v>0.50743557029854558</v>
      </c>
      <c r="G87" s="676">
        <f t="shared" si="81"/>
        <v>0.50206103145019776</v>
      </c>
      <c r="H87" s="676">
        <f t="shared" si="81"/>
        <v>0.56119053956424203</v>
      </c>
      <c r="I87" s="676">
        <f t="shared" si="81"/>
        <v>0.49820904672242411</v>
      </c>
      <c r="J87" s="676">
        <f t="shared" si="81"/>
        <v>0.4848282808222093</v>
      </c>
      <c r="K87" s="676">
        <f t="shared" ref="K87:L87" si="82">+K9/K17</f>
        <v>0.48292531335243949</v>
      </c>
      <c r="L87" s="676">
        <f t="shared" si="82"/>
        <v>0.54539374686507269</v>
      </c>
      <c r="M87" s="676">
        <f>+'Tab-14 CurrentData'!O87</f>
        <v>0.56693975422120091</v>
      </c>
      <c r="N87" s="676">
        <f>+'Tab-14 CurrentData'!Q87</f>
        <v>0.57783695206882424</v>
      </c>
    </row>
    <row r="88" spans="1:14" ht="12" thickBot="1" x14ac:dyDescent="0.25">
      <c r="B88" s="588" t="s">
        <v>29</v>
      </c>
      <c r="C88" s="677">
        <f t="shared" ref="C88" si="83">+C9/C12</f>
        <v>0.7317585546893236</v>
      </c>
      <c r="D88" s="677">
        <f t="shared" ref="D88:J88" si="84">+D9/D12</f>
        <v>0.70922384701912256</v>
      </c>
      <c r="E88" s="677">
        <f t="shared" si="84"/>
        <v>0.7121693756372578</v>
      </c>
      <c r="F88" s="677">
        <f t="shared" si="84"/>
        <v>0.66446585851565731</v>
      </c>
      <c r="G88" s="677">
        <f t="shared" si="84"/>
        <v>0.66410295147711196</v>
      </c>
      <c r="H88" s="677">
        <f t="shared" si="84"/>
        <v>0.72844944596628913</v>
      </c>
      <c r="I88" s="677">
        <f t="shared" si="84"/>
        <v>0.64225072254335258</v>
      </c>
      <c r="J88" s="677">
        <f t="shared" si="84"/>
        <v>0.65512085721405433</v>
      </c>
      <c r="K88" s="677">
        <f t="shared" ref="K88:L88" si="85">+K9/K12</f>
        <v>0.64775490355000809</v>
      </c>
      <c r="L88" s="677">
        <f t="shared" si="85"/>
        <v>0.67550217436322224</v>
      </c>
      <c r="M88" s="677">
        <f>+'Tab-14 CurrentData'!O88</f>
        <v>0.70922384701912256</v>
      </c>
      <c r="N88" s="677">
        <f>+'Tab-14 CurrentData'!Q88</f>
        <v>0.74315068493150682</v>
      </c>
    </row>
    <row r="89" spans="1:14" ht="12" thickTop="1" x14ac:dyDescent="0.2">
      <c r="A89" s="678"/>
      <c r="B89" s="679"/>
      <c r="C89" s="680"/>
      <c r="D89" s="680"/>
      <c r="E89" s="680"/>
      <c r="F89" s="680"/>
      <c r="G89" s="680"/>
      <c r="H89" s="680"/>
      <c r="I89" s="680"/>
      <c r="J89" s="680"/>
      <c r="K89" s="680"/>
      <c r="L89" s="680"/>
      <c r="M89" s="680"/>
      <c r="N89" s="680"/>
    </row>
    <row r="90" spans="1:14" x14ac:dyDescent="0.2">
      <c r="A90" s="562"/>
      <c r="C90" s="562"/>
      <c r="D90" s="562"/>
      <c r="E90" s="562"/>
      <c r="F90" s="562"/>
      <c r="G90" s="562"/>
      <c r="H90" s="562"/>
      <c r="I90" s="562"/>
      <c r="J90" s="562"/>
      <c r="K90" s="562"/>
      <c r="L90" s="562"/>
      <c r="M90" s="562"/>
    </row>
    <row r="91" spans="1:14" ht="12" thickBot="1" x14ac:dyDescent="0.25">
      <c r="B91" s="585" t="s">
        <v>30</v>
      </c>
      <c r="C91" s="615"/>
      <c r="D91" s="615"/>
      <c r="E91" s="615"/>
      <c r="F91" s="615"/>
      <c r="G91" s="615"/>
      <c r="H91" s="615"/>
      <c r="I91" s="615"/>
      <c r="J91" s="615"/>
      <c r="K91" s="615"/>
      <c r="L91" s="615"/>
      <c r="M91" s="615"/>
      <c r="N91" s="615"/>
    </row>
    <row r="92" spans="1:14" ht="12" thickBot="1" x14ac:dyDescent="0.25">
      <c r="B92" s="592" t="s">
        <v>31</v>
      </c>
      <c r="C92" s="649">
        <f t="shared" ref="C92" si="86">+C36/C9</f>
        <v>103.55671749069643</v>
      </c>
      <c r="D92" s="649">
        <f t="shared" ref="D92:J92" si="87">+D36/D9</f>
        <v>80.131936734514056</v>
      </c>
      <c r="E92" s="649">
        <f t="shared" si="87"/>
        <v>90.848681994273207</v>
      </c>
      <c r="F92" s="649">
        <f t="shared" si="87"/>
        <v>98.182110990425599</v>
      </c>
      <c r="G92" s="649">
        <f t="shared" si="87"/>
        <v>109.51096083054142</v>
      </c>
      <c r="H92" s="649">
        <f t="shared" si="87"/>
        <v>105.24116202252901</v>
      </c>
      <c r="I92" s="649">
        <f t="shared" si="87"/>
        <v>101.80890521726901</v>
      </c>
      <c r="J92" s="649">
        <f t="shared" si="87"/>
        <v>83.410919624308747</v>
      </c>
      <c r="K92" s="649">
        <f t="shared" ref="K92:L92" si="88">+K36/K9</f>
        <v>89.359430859430859</v>
      </c>
      <c r="L92" s="649">
        <f t="shared" si="88"/>
        <v>58.002899623368663</v>
      </c>
      <c r="M92" s="649">
        <f>+'Tab-14 CurrentData'!O92</f>
        <v>80.131936734514056</v>
      </c>
      <c r="N92" s="649">
        <f>+'Tab-14 CurrentData'!Q92</f>
        <v>102.46753716937626</v>
      </c>
    </row>
    <row r="93" spans="1:14" x14ac:dyDescent="0.2">
      <c r="B93" s="588" t="s">
        <v>32</v>
      </c>
      <c r="C93" s="681">
        <f t="shared" ref="C93" si="89">+C35/C9</f>
        <v>26.154271557682087</v>
      </c>
      <c r="D93" s="681">
        <f t="shared" ref="D93:J93" si="90">+D35/D9</f>
        <v>31.688117014714955</v>
      </c>
      <c r="E93" s="681">
        <f t="shared" si="90"/>
        <v>27.747662961091461</v>
      </c>
      <c r="F93" s="681">
        <f t="shared" si="90"/>
        <v>27.16219486684367</v>
      </c>
      <c r="G93" s="681">
        <f t="shared" si="90"/>
        <v>29.780349092112338</v>
      </c>
      <c r="H93" s="681">
        <f t="shared" si="90"/>
        <v>30.618920979080208</v>
      </c>
      <c r="I93" s="681">
        <f t="shared" si="90"/>
        <v>30.647974968358881</v>
      </c>
      <c r="J93" s="681">
        <f t="shared" si="90"/>
        <v>31.713228194399743</v>
      </c>
      <c r="K93" s="681">
        <f t="shared" ref="K93:L93" si="91">+K35/K9</f>
        <v>32.034856284856282</v>
      </c>
      <c r="L93" s="681">
        <f t="shared" si="91"/>
        <v>33.114637820793554</v>
      </c>
      <c r="M93" s="681">
        <f>+'Tab-14 CurrentData'!O93</f>
        <v>31.688117014714955</v>
      </c>
      <c r="N93" s="681">
        <f>+'Tab-14 CurrentData'!Q93</f>
        <v>26.865733250620348</v>
      </c>
    </row>
    <row r="94" spans="1:14" ht="12" thickBot="1" x14ac:dyDescent="0.25">
      <c r="B94" s="592" t="s">
        <v>33</v>
      </c>
      <c r="C94" s="649">
        <f t="shared" ref="C94" si="92">+C41/C9</f>
        <v>45.157898777246146</v>
      </c>
      <c r="D94" s="649">
        <f t="shared" ref="D94:J94" si="93">+D41/D9</f>
        <v>46.301882104150138</v>
      </c>
      <c r="E94" s="649">
        <f t="shared" si="93"/>
        <v>51.22644012127337</v>
      </c>
      <c r="F94" s="649">
        <f t="shared" si="93"/>
        <v>50.263068629817369</v>
      </c>
      <c r="G94" s="649">
        <f t="shared" si="93"/>
        <v>53.801857136948342</v>
      </c>
      <c r="H94" s="649">
        <f t="shared" si="93"/>
        <v>49.582739053104092</v>
      </c>
      <c r="I94" s="649">
        <f t="shared" si="93"/>
        <v>59.100284770074531</v>
      </c>
      <c r="J94" s="649">
        <f t="shared" si="93"/>
        <v>64.811422886736693</v>
      </c>
      <c r="K94" s="649">
        <f t="shared" ref="K94:L94" si="94">+K41/K9</f>
        <v>66.998748748748753</v>
      </c>
      <c r="L94" s="649">
        <f t="shared" si="94"/>
        <v>54.41427564158711</v>
      </c>
      <c r="M94" s="649">
        <f>+'Tab-14 CurrentData'!O94</f>
        <v>46.301882104150138</v>
      </c>
      <c r="N94" s="649">
        <f>+'Tab-14 CurrentData'!Q94</f>
        <v>59.09412801420229</v>
      </c>
    </row>
    <row r="95" spans="1:14" ht="12" thickBot="1" x14ac:dyDescent="0.25">
      <c r="B95" s="592" t="s">
        <v>34</v>
      </c>
      <c r="C95" s="649">
        <f t="shared" ref="C95" si="95">+C42/C9</f>
        <v>71.312170334928226</v>
      </c>
      <c r="D95" s="649">
        <f t="shared" ref="D95:J95" si="96">+D42/D9</f>
        <v>77.9899991188651</v>
      </c>
      <c r="E95" s="649">
        <f t="shared" si="96"/>
        <v>78.974103082364834</v>
      </c>
      <c r="F95" s="649">
        <f t="shared" si="96"/>
        <v>77.425263496661046</v>
      </c>
      <c r="G95" s="649">
        <f t="shared" si="96"/>
        <v>83.582206229060674</v>
      </c>
      <c r="H95" s="649">
        <f t="shared" si="96"/>
        <v>80.201660032184293</v>
      </c>
      <c r="I95" s="649">
        <f t="shared" si="96"/>
        <v>89.748259738433418</v>
      </c>
      <c r="J95" s="649">
        <f t="shared" si="96"/>
        <v>96.52465108113644</v>
      </c>
      <c r="K95" s="649">
        <f t="shared" ref="K95:L95" si="97">+K42/K9</f>
        <v>99.033605033605028</v>
      </c>
      <c r="L95" s="649">
        <f t="shared" si="97"/>
        <v>87.528913462380658</v>
      </c>
      <c r="M95" s="649">
        <f>+'Tab-14 CurrentData'!O95</f>
        <v>77.9899991188651</v>
      </c>
      <c r="N95" s="649">
        <f>+'Tab-14 CurrentData'!Q95</f>
        <v>85.959861264822635</v>
      </c>
    </row>
    <row r="96" spans="1:14" ht="12" thickBot="1" x14ac:dyDescent="0.25">
      <c r="B96" s="629" t="s">
        <v>35</v>
      </c>
      <c r="C96" s="682">
        <f t="shared" ref="C96:H96" si="98">+C43/C9</f>
        <v>32.244547155768203</v>
      </c>
      <c r="D96" s="682">
        <f t="shared" si="98"/>
        <v>2.1419376156489642</v>
      </c>
      <c r="E96" s="682">
        <f t="shared" si="98"/>
        <v>11.874578911908371</v>
      </c>
      <c r="F96" s="682">
        <f t="shared" si="98"/>
        <v>20.756847493764557</v>
      </c>
      <c r="G96" s="682">
        <f t="shared" si="98"/>
        <v>25.928754601480748</v>
      </c>
      <c r="H96" s="682">
        <f t="shared" si="98"/>
        <v>25.039501990344711</v>
      </c>
      <c r="I96" s="682">
        <f>+I43/I9</f>
        <v>12.060645478835607</v>
      </c>
      <c r="J96" s="682">
        <f>+J43/J9</f>
        <v>-13.113731456827692</v>
      </c>
      <c r="K96" s="682">
        <f t="shared" ref="K96:L96" si="99">+K43/K9</f>
        <v>-9.6741741741741745</v>
      </c>
      <c r="L96" s="682">
        <f t="shared" si="99"/>
        <v>-29.526013839011998</v>
      </c>
      <c r="M96" s="682">
        <f>+'Tab-14 CurrentData'!O96</f>
        <v>2.1419376156489562</v>
      </c>
      <c r="N96" s="682">
        <f>+'Tab-14 CurrentData'!Q96</f>
        <v>16.507675904553597</v>
      </c>
    </row>
    <row r="97" spans="1:14" ht="12" thickTop="1" x14ac:dyDescent="0.2">
      <c r="B97" s="662"/>
      <c r="C97" s="612"/>
      <c r="D97" s="612"/>
      <c r="E97" s="612"/>
      <c r="F97" s="612"/>
      <c r="G97" s="612"/>
      <c r="H97" s="612"/>
      <c r="I97" s="612"/>
      <c r="J97" s="612"/>
      <c r="K97" s="612"/>
      <c r="L97" s="612"/>
      <c r="M97" s="612"/>
      <c r="N97" s="612"/>
    </row>
    <row r="98" spans="1:14" x14ac:dyDescent="0.2">
      <c r="B98" s="662"/>
      <c r="C98" s="612"/>
      <c r="D98" s="612"/>
      <c r="E98" s="612"/>
      <c r="F98" s="612"/>
      <c r="G98" s="612"/>
      <c r="H98" s="612"/>
      <c r="I98" s="612"/>
      <c r="J98" s="612"/>
      <c r="K98" s="612"/>
      <c r="L98" s="612"/>
      <c r="M98" s="612"/>
      <c r="N98" s="612"/>
    </row>
    <row r="99" spans="1:14" ht="12" thickBot="1" x14ac:dyDescent="0.25">
      <c r="A99" s="648"/>
      <c r="B99" s="683" t="s">
        <v>120</v>
      </c>
      <c r="C99" s="615"/>
      <c r="D99" s="615"/>
      <c r="E99" s="615"/>
      <c r="F99" s="615"/>
      <c r="G99" s="615"/>
      <c r="H99" s="615"/>
      <c r="I99" s="615"/>
      <c r="J99" s="615"/>
      <c r="K99" s="615"/>
      <c r="L99" s="615"/>
      <c r="M99" s="615"/>
      <c r="N99" s="615"/>
    </row>
    <row r="100" spans="1:14" x14ac:dyDescent="0.2">
      <c r="A100" s="606"/>
      <c r="B100" s="684" t="s">
        <v>49</v>
      </c>
      <c r="C100" s="632">
        <f t="shared" ref="C100" si="100">+C35</f>
        <v>1229904.6200000001</v>
      </c>
      <c r="D100" s="632">
        <f t="shared" ref="D100:J100" si="101">+D35</f>
        <v>359628.44</v>
      </c>
      <c r="E100" s="632">
        <f t="shared" si="101"/>
        <v>1317903</v>
      </c>
      <c r="F100" s="632">
        <f t="shared" si="101"/>
        <v>1350395.68</v>
      </c>
      <c r="G100" s="632">
        <f t="shared" si="101"/>
        <v>1439999</v>
      </c>
      <c r="H100" s="632">
        <f t="shared" si="101"/>
        <v>1807588</v>
      </c>
      <c r="I100" s="632">
        <f t="shared" si="101"/>
        <v>1743502</v>
      </c>
      <c r="J100" s="632">
        <f t="shared" si="101"/>
        <v>1083863</v>
      </c>
      <c r="K100" s="632">
        <f t="shared" ref="K100:L100" si="102">+K35</f>
        <v>896079</v>
      </c>
      <c r="L100" s="632">
        <f t="shared" si="102"/>
        <v>756139.64</v>
      </c>
      <c r="M100" s="632">
        <f>+'Tab-14 CurrentData'!O100</f>
        <v>359628.44</v>
      </c>
      <c r="N100" s="632">
        <f>+'Tab-14 CurrentData'!Q100</f>
        <v>606305.86800000002</v>
      </c>
    </row>
    <row r="101" spans="1:14" x14ac:dyDescent="0.2">
      <c r="A101" s="685"/>
      <c r="B101" s="686" t="s">
        <v>50</v>
      </c>
      <c r="C101" s="687">
        <f t="shared" ref="C101" si="103">+C39</f>
        <v>932708.61</v>
      </c>
      <c r="D101" s="687">
        <f t="shared" ref="D101:J101" si="104">+D39</f>
        <v>192715.66</v>
      </c>
      <c r="E101" s="687">
        <f t="shared" si="104"/>
        <v>1044391</v>
      </c>
      <c r="F101" s="687">
        <f t="shared" si="104"/>
        <v>1157749.44</v>
      </c>
      <c r="G101" s="687">
        <f t="shared" si="104"/>
        <v>1299283</v>
      </c>
      <c r="H101" s="687">
        <f t="shared" si="104"/>
        <v>1175246</v>
      </c>
      <c r="I101" s="687">
        <f t="shared" si="104"/>
        <v>1592247</v>
      </c>
      <c r="J101" s="687">
        <f t="shared" si="104"/>
        <v>973127</v>
      </c>
      <c r="K101" s="687">
        <f t="shared" ref="K101:L101" si="105">+K39</f>
        <v>806038.3600000001</v>
      </c>
      <c r="L101" s="687">
        <f t="shared" si="105"/>
        <v>447840.93999999994</v>
      </c>
      <c r="M101" s="687">
        <f>+'Tab-14 CurrentData'!O101</f>
        <v>192715.66</v>
      </c>
      <c r="N101" s="687">
        <f>+'Tab-14 CurrentData'!Q101</f>
        <v>640634.17505769222</v>
      </c>
    </row>
    <row r="102" spans="1:14" ht="12" thickBot="1" x14ac:dyDescent="0.25">
      <c r="A102" s="688"/>
      <c r="B102" s="689" t="s">
        <v>121</v>
      </c>
      <c r="C102" s="690">
        <f t="shared" ref="C102" si="106">+C101+C100</f>
        <v>2162613.23</v>
      </c>
      <c r="D102" s="690">
        <f t="shared" ref="D102:J102" si="107">+D101+D100</f>
        <v>552344.1</v>
      </c>
      <c r="E102" s="690">
        <f t="shared" si="107"/>
        <v>2362294</v>
      </c>
      <c r="F102" s="690">
        <f t="shared" si="107"/>
        <v>2508145.12</v>
      </c>
      <c r="G102" s="690">
        <f t="shared" si="107"/>
        <v>2739282</v>
      </c>
      <c r="H102" s="690">
        <f t="shared" si="107"/>
        <v>2982834</v>
      </c>
      <c r="I102" s="690">
        <f t="shared" si="107"/>
        <v>3335749</v>
      </c>
      <c r="J102" s="690">
        <f t="shared" si="107"/>
        <v>2056990</v>
      </c>
      <c r="K102" s="690">
        <f t="shared" ref="K102:L102" si="108">+K101+K100</f>
        <v>1702117.36</v>
      </c>
      <c r="L102" s="690">
        <f t="shared" si="108"/>
        <v>1203980.58</v>
      </c>
      <c r="M102" s="690">
        <f>+'Tab-14 CurrentData'!O102</f>
        <v>552344.1</v>
      </c>
      <c r="N102" s="690">
        <f>+'Tab-14 CurrentData'!Q102</f>
        <v>1246940.0430576922</v>
      </c>
    </row>
    <row r="103" spans="1:14" ht="12" thickTop="1" x14ac:dyDescent="0.2">
      <c r="B103" s="662"/>
      <c r="C103" s="612"/>
      <c r="D103" s="612"/>
      <c r="E103" s="612"/>
      <c r="F103" s="612"/>
      <c r="G103" s="612"/>
      <c r="H103" s="612"/>
      <c r="I103" s="612"/>
      <c r="J103" s="612"/>
      <c r="K103" s="612"/>
      <c r="L103" s="612"/>
      <c r="M103" s="612"/>
      <c r="N103" s="612"/>
    </row>
    <row r="104" spans="1:14" ht="12" thickBot="1" x14ac:dyDescent="0.25">
      <c r="A104" s="584"/>
      <c r="B104" s="691" t="s">
        <v>47</v>
      </c>
      <c r="C104" s="309">
        <f t="shared" ref="C104" si="109">+C105/C106</f>
        <v>0.44409079920297589</v>
      </c>
      <c r="D104" s="309">
        <f t="shared" ref="D104:J104" si="110">+D105/D106</f>
        <v>0.60736041598502588</v>
      </c>
      <c r="E104" s="309">
        <f t="shared" si="110"/>
        <v>0.54746742082003752</v>
      </c>
      <c r="F104" s="309">
        <f t="shared" si="110"/>
        <v>0.51383551236801717</v>
      </c>
      <c r="G104" s="309">
        <f t="shared" si="110"/>
        <v>0.51730508585643886</v>
      </c>
      <c r="H104" s="309">
        <f t="shared" si="110"/>
        <v>0.48010240608590626</v>
      </c>
      <c r="I104" s="309">
        <f t="shared" si="110"/>
        <v>0.57595284980847605</v>
      </c>
      <c r="J104" s="309">
        <f t="shared" si="110"/>
        <v>0.72156478943149749</v>
      </c>
      <c r="K104" s="309">
        <f t="shared" ref="K104:L104" si="111">+K105/K106</f>
        <v>0.6809662492868751</v>
      </c>
      <c r="L104" s="309">
        <f t="shared" si="111"/>
        <v>0.9090500190265578</v>
      </c>
      <c r="M104" s="309">
        <f>+'Tab-14 CurrentData'!O104</f>
        <v>0.60736041598502588</v>
      </c>
      <c r="N104" s="309">
        <f>+'Tab-14 CurrentData'!Q104</f>
        <v>0.53922025887293945</v>
      </c>
    </row>
    <row r="105" spans="1:14" x14ac:dyDescent="0.2">
      <c r="B105" s="636" t="s">
        <v>45</v>
      </c>
      <c r="C105" s="612">
        <f t="shared" ref="C105" si="112">+C102</f>
        <v>2162613.23</v>
      </c>
      <c r="D105" s="612">
        <f t="shared" ref="D105:J105" si="113">+D102</f>
        <v>552344.1</v>
      </c>
      <c r="E105" s="612">
        <f t="shared" si="113"/>
        <v>2362294</v>
      </c>
      <c r="F105" s="612">
        <f t="shared" si="113"/>
        <v>2508145.12</v>
      </c>
      <c r="G105" s="612">
        <f t="shared" si="113"/>
        <v>2739282</v>
      </c>
      <c r="H105" s="612">
        <f t="shared" si="113"/>
        <v>2982834</v>
      </c>
      <c r="I105" s="612">
        <f t="shared" si="113"/>
        <v>3335749</v>
      </c>
      <c r="J105" s="612">
        <f t="shared" si="113"/>
        <v>2056990</v>
      </c>
      <c r="K105" s="612">
        <f t="shared" ref="K105:L105" si="114">+K102</f>
        <v>1702117.36</v>
      </c>
      <c r="L105" s="612">
        <f t="shared" si="114"/>
        <v>1203980.58</v>
      </c>
      <c r="M105" s="612">
        <f>+'Tab-14 CurrentData'!O105</f>
        <v>552344.1</v>
      </c>
      <c r="N105" s="612">
        <f>+'Tab-14 CurrentData'!Q105</f>
        <v>1246940.0430576922</v>
      </c>
    </row>
    <row r="106" spans="1:14" ht="12" thickBot="1" x14ac:dyDescent="0.25">
      <c r="B106" s="651" t="s">
        <v>31</v>
      </c>
      <c r="C106" s="692">
        <f t="shared" ref="C106" si="115">+C36</f>
        <v>4869754.6399999997</v>
      </c>
      <c r="D106" s="692">
        <f t="shared" ref="D106:J106" si="116">+D36</f>
        <v>909417.35000000009</v>
      </c>
      <c r="E106" s="692">
        <f t="shared" si="116"/>
        <v>4314949</v>
      </c>
      <c r="F106" s="692">
        <f t="shared" si="116"/>
        <v>4881221.8299999991</v>
      </c>
      <c r="G106" s="692">
        <f t="shared" si="116"/>
        <v>5295293</v>
      </c>
      <c r="H106" s="692">
        <f t="shared" si="116"/>
        <v>6212912</v>
      </c>
      <c r="I106" s="692">
        <f t="shared" si="116"/>
        <v>5791705</v>
      </c>
      <c r="J106" s="692">
        <f t="shared" si="116"/>
        <v>2850735</v>
      </c>
      <c r="K106" s="692">
        <f t="shared" ref="K106:L106" si="117">+K36</f>
        <v>2499562</v>
      </c>
      <c r="L106" s="692">
        <f t="shared" si="117"/>
        <v>1324438.21</v>
      </c>
      <c r="M106" s="692">
        <f>+'Tab-14 CurrentData'!O106</f>
        <v>909417.35000000009</v>
      </c>
      <c r="N106" s="692">
        <f>+'Tab-14 CurrentData'!Q106</f>
        <v>2312487.3788384832</v>
      </c>
    </row>
    <row r="107" spans="1:14" ht="12" thickTop="1" x14ac:dyDescent="0.2">
      <c r="A107" s="678"/>
      <c r="B107" s="679"/>
      <c r="C107" s="612"/>
      <c r="D107" s="612"/>
      <c r="E107" s="612"/>
      <c r="F107" s="612"/>
      <c r="G107" s="612"/>
      <c r="H107" s="612"/>
      <c r="I107" s="612"/>
      <c r="J107" s="612"/>
      <c r="K107" s="612"/>
      <c r="L107" s="612"/>
      <c r="M107" s="612"/>
      <c r="N107" s="612"/>
    </row>
    <row r="108" spans="1:14" ht="12" thickBot="1" x14ac:dyDescent="0.25">
      <c r="A108" s="584"/>
      <c r="B108" s="585" t="s">
        <v>36</v>
      </c>
      <c r="C108" s="615"/>
      <c r="D108" s="615"/>
      <c r="E108" s="615"/>
      <c r="F108" s="615"/>
      <c r="G108" s="615"/>
      <c r="H108" s="615"/>
      <c r="I108" s="615"/>
      <c r="J108" s="615"/>
      <c r="K108" s="615"/>
      <c r="L108" s="615"/>
      <c r="M108" s="615"/>
      <c r="N108" s="615"/>
    </row>
    <row r="109" spans="1:14" ht="12" thickBot="1" x14ac:dyDescent="0.25">
      <c r="A109" s="584"/>
      <c r="B109" s="592" t="s">
        <v>31</v>
      </c>
      <c r="C109" s="649">
        <f t="shared" ref="C109" si="118">+C36/C35</f>
        <v>3.9594571487990664</v>
      </c>
      <c r="D109" s="649">
        <f t="shared" ref="D109:J109" si="119">+D36/D35</f>
        <v>2.5287692764231884</v>
      </c>
      <c r="E109" s="649">
        <f t="shared" si="119"/>
        <v>3.2741021152543093</v>
      </c>
      <c r="F109" s="649">
        <f t="shared" si="119"/>
        <v>3.6146604304895282</v>
      </c>
      <c r="G109" s="649">
        <f t="shared" si="119"/>
        <v>3.6772893592287215</v>
      </c>
      <c r="H109" s="649">
        <f t="shared" si="119"/>
        <v>3.437128372173305</v>
      </c>
      <c r="I109" s="649">
        <f t="shared" si="119"/>
        <v>3.3218803305072204</v>
      </c>
      <c r="J109" s="649">
        <f t="shared" si="119"/>
        <v>2.6301617455342603</v>
      </c>
      <c r="K109" s="649">
        <f t="shared" ref="K109:L109" si="120">+K36/K35</f>
        <v>2.7894437878803098</v>
      </c>
      <c r="L109" s="649">
        <f t="shared" si="120"/>
        <v>1.7515788618091759</v>
      </c>
      <c r="M109" s="649">
        <f>+'Tab-14 CurrentData'!O109</f>
        <v>2.5287692764231884</v>
      </c>
      <c r="N109" s="649">
        <f>+'Tab-14 CurrentData'!Q109</f>
        <v>3.8140606926114775</v>
      </c>
    </row>
    <row r="110" spans="1:14" x14ac:dyDescent="0.2">
      <c r="B110" s="588" t="s">
        <v>37</v>
      </c>
      <c r="C110" s="681">
        <f t="shared" ref="C110" si="121">+C35/C35</f>
        <v>1</v>
      </c>
      <c r="D110" s="681">
        <f t="shared" ref="D110:J110" si="122">+D35/D35</f>
        <v>1</v>
      </c>
      <c r="E110" s="681">
        <f t="shared" si="122"/>
        <v>1</v>
      </c>
      <c r="F110" s="681">
        <f t="shared" si="122"/>
        <v>1</v>
      </c>
      <c r="G110" s="681">
        <f t="shared" si="122"/>
        <v>1</v>
      </c>
      <c r="H110" s="681">
        <f t="shared" si="122"/>
        <v>1</v>
      </c>
      <c r="I110" s="681">
        <f t="shared" si="122"/>
        <v>1</v>
      </c>
      <c r="J110" s="681">
        <f t="shared" si="122"/>
        <v>1</v>
      </c>
      <c r="K110" s="681">
        <f t="shared" ref="K110:L110" si="123">+K35/K35</f>
        <v>1</v>
      </c>
      <c r="L110" s="681">
        <f t="shared" si="123"/>
        <v>1</v>
      </c>
      <c r="M110" s="681">
        <f>+'Tab-14 CurrentData'!O110</f>
        <v>1</v>
      </c>
      <c r="N110" s="681">
        <f>+'Tab-14 CurrentData'!Q110</f>
        <v>1</v>
      </c>
    </row>
    <row r="111" spans="1:14" ht="12" thickBot="1" x14ac:dyDescent="0.25">
      <c r="A111" s="584"/>
      <c r="B111" s="592" t="s">
        <v>38</v>
      </c>
      <c r="C111" s="649">
        <f t="shared" ref="C111" si="124">+C41/C35</f>
        <v>1.7265974576142333</v>
      </c>
      <c r="D111" s="649">
        <f t="shared" ref="D111:J111" si="125">+D41/D35</f>
        <v>1.4611749282120177</v>
      </c>
      <c r="E111" s="649">
        <f t="shared" si="125"/>
        <v>1.846153320843795</v>
      </c>
      <c r="F111" s="649">
        <f t="shared" si="125"/>
        <v>1.8504789055604802</v>
      </c>
      <c r="G111" s="649">
        <f t="shared" si="125"/>
        <v>1.8066227823769323</v>
      </c>
      <c r="H111" s="649">
        <f t="shared" si="125"/>
        <v>1.6193496526863422</v>
      </c>
      <c r="I111" s="649">
        <f t="shared" si="125"/>
        <v>1.9283585565144175</v>
      </c>
      <c r="J111" s="649">
        <f t="shared" si="125"/>
        <v>2.0436715710380371</v>
      </c>
      <c r="K111" s="649">
        <f t="shared" ref="K111:L111" si="126">+K41/K35</f>
        <v>2.0914327866181441</v>
      </c>
      <c r="L111" s="649">
        <f t="shared" si="126"/>
        <v>1.6432091432212177</v>
      </c>
      <c r="M111" s="649">
        <f>+'Tab-14 CurrentData'!O111</f>
        <v>1.4611749282120177</v>
      </c>
      <c r="N111" s="649">
        <f>+'Tab-14 CurrentData'!Q111</f>
        <v>2.1996097207895029</v>
      </c>
    </row>
    <row r="112" spans="1:14" ht="12" thickBot="1" x14ac:dyDescent="0.25">
      <c r="A112" s="584"/>
      <c r="B112" s="592" t="s">
        <v>34</v>
      </c>
      <c r="C112" s="649">
        <f t="shared" ref="C112" si="127">+C42/C35</f>
        <v>2.7265974576142331</v>
      </c>
      <c r="D112" s="649">
        <f t="shared" ref="D112:J112" si="128">+D42/D35</f>
        <v>2.4611749282120181</v>
      </c>
      <c r="E112" s="649">
        <f t="shared" si="128"/>
        <v>2.8461533208437952</v>
      </c>
      <c r="F112" s="649">
        <f t="shared" si="128"/>
        <v>2.8504789055604802</v>
      </c>
      <c r="G112" s="649">
        <f t="shared" si="128"/>
        <v>2.8066227823769321</v>
      </c>
      <c r="H112" s="649">
        <f t="shared" si="128"/>
        <v>2.6193496526863425</v>
      </c>
      <c r="I112" s="649">
        <f t="shared" si="128"/>
        <v>2.9283585565144175</v>
      </c>
      <c r="J112" s="649">
        <f t="shared" si="128"/>
        <v>3.0436715710380371</v>
      </c>
      <c r="K112" s="649">
        <f t="shared" ref="K112:L112" si="129">+K42/K35</f>
        <v>3.0914327866181441</v>
      </c>
      <c r="L112" s="649">
        <f t="shared" si="129"/>
        <v>2.6432091432212177</v>
      </c>
      <c r="M112" s="649">
        <f>+'Tab-14 CurrentData'!O112</f>
        <v>2.4611749282120181</v>
      </c>
      <c r="N112" s="649">
        <f>+'Tab-14 CurrentData'!Q112</f>
        <v>3.1996097207895029</v>
      </c>
    </row>
    <row r="113" spans="1:14" ht="12" thickBot="1" x14ac:dyDescent="0.25">
      <c r="A113" s="667"/>
      <c r="B113" s="629" t="s">
        <v>35</v>
      </c>
      <c r="C113" s="682">
        <f t="shared" ref="C113:H113" si="130">+C43/C35</f>
        <v>1.2328596911848331</v>
      </c>
      <c r="D113" s="682">
        <f t="shared" si="130"/>
        <v>6.7594348211170649E-2</v>
      </c>
      <c r="E113" s="682">
        <f t="shared" si="130"/>
        <v>0.42794879441051425</v>
      </c>
      <c r="F113" s="682">
        <f t="shared" si="130"/>
        <v>0.76418152492904812</v>
      </c>
      <c r="G113" s="682">
        <f t="shared" si="130"/>
        <v>0.8706665768517895</v>
      </c>
      <c r="H113" s="682">
        <f t="shared" si="130"/>
        <v>0.81777871948696279</v>
      </c>
      <c r="I113" s="682">
        <f>+I43/I35</f>
        <v>0.39352177399280297</v>
      </c>
      <c r="J113" s="682">
        <f>+J43/J35</f>
        <v>-0.4135098255037768</v>
      </c>
      <c r="K113" s="682">
        <f t="shared" ref="K113:L113" si="131">+K43/K35</f>
        <v>-0.30198899873783452</v>
      </c>
      <c r="L113" s="682">
        <f t="shared" si="131"/>
        <v>-0.89163028141204181</v>
      </c>
      <c r="M113" s="682">
        <f>+'Tab-14 CurrentData'!O113</f>
        <v>6.7594348211170413E-2</v>
      </c>
      <c r="N113" s="682">
        <f>+'Tab-14 CurrentData'!Q113</f>
        <v>0.61445097182197417</v>
      </c>
    </row>
    <row r="114" spans="1:14" ht="12" thickTop="1" x14ac:dyDescent="0.2">
      <c r="B114" s="662"/>
      <c r="C114" s="612"/>
      <c r="D114" s="612"/>
      <c r="E114" s="612"/>
      <c r="F114" s="612"/>
      <c r="G114" s="612"/>
      <c r="H114" s="612"/>
      <c r="I114" s="612"/>
      <c r="J114" s="612"/>
      <c r="K114" s="612"/>
      <c r="L114" s="612"/>
      <c r="M114" s="612"/>
      <c r="N114" s="612"/>
    </row>
    <row r="115" spans="1:14" ht="12" thickBot="1" x14ac:dyDescent="0.25">
      <c r="A115" s="584"/>
      <c r="B115" s="585" t="s">
        <v>40</v>
      </c>
      <c r="C115" s="615"/>
      <c r="D115" s="615"/>
      <c r="E115" s="615"/>
      <c r="F115" s="615"/>
      <c r="G115" s="615"/>
      <c r="H115" s="615"/>
      <c r="I115" s="615"/>
      <c r="J115" s="615"/>
      <c r="K115" s="615"/>
      <c r="L115" s="615"/>
      <c r="M115" s="615"/>
      <c r="N115" s="615"/>
    </row>
    <row r="116" spans="1:14" x14ac:dyDescent="0.2">
      <c r="B116" s="693" t="s">
        <v>122</v>
      </c>
      <c r="C116" s="607">
        <f t="shared" ref="C116:H116" si="132">+C36/C73</f>
        <v>115728.79535083825</v>
      </c>
      <c r="D116" s="607">
        <f t="shared" si="132"/>
        <v>47247.179738235594</v>
      </c>
      <c r="E116" s="607">
        <f t="shared" si="132"/>
        <v>98665.353927334683</v>
      </c>
      <c r="F116" s="607">
        <f t="shared" si="132"/>
        <v>104026.44736963509</v>
      </c>
      <c r="G116" s="607">
        <f t="shared" si="132"/>
        <v>114800.71626293985</v>
      </c>
      <c r="H116" s="607">
        <f t="shared" si="132"/>
        <v>123317.99931556333</v>
      </c>
      <c r="I116" s="607">
        <f>+I36/I73</f>
        <v>105907.7815825196</v>
      </c>
      <c r="J116" s="607">
        <f>+J36/J73</f>
        <v>84438.663129672452</v>
      </c>
      <c r="K116" s="607">
        <f t="shared" ref="K116:L116" si="133">+K36/K73</f>
        <v>89760.176789475503</v>
      </c>
      <c r="L116" s="607">
        <f t="shared" si="133"/>
        <v>65799.591009625714</v>
      </c>
      <c r="M116" s="607">
        <f>+'Tab-14 CurrentData'!O116</f>
        <v>47247.179738235594</v>
      </c>
      <c r="N116" s="607">
        <f>+'Tab-14 CurrentData'!Q116</f>
        <v>124103.17354684198</v>
      </c>
    </row>
    <row r="117" spans="1:14" ht="12" thickBot="1" x14ac:dyDescent="0.25">
      <c r="A117" s="667"/>
      <c r="B117" s="693" t="s">
        <v>123</v>
      </c>
      <c r="C117" s="605">
        <f t="shared" ref="C117:H117" si="134">+C36/C69</f>
        <v>158225.53706362913</v>
      </c>
      <c r="D117" s="605">
        <f t="shared" si="134"/>
        <v>59104.739657542807</v>
      </c>
      <c r="E117" s="605">
        <f t="shared" si="134"/>
        <v>134575.27019732501</v>
      </c>
      <c r="F117" s="605">
        <f t="shared" si="134"/>
        <v>136218.32347923709</v>
      </c>
      <c r="G117" s="605">
        <f t="shared" si="134"/>
        <v>151853.04121629972</v>
      </c>
      <c r="H117" s="605">
        <f t="shared" si="134"/>
        <v>160072.06455911748</v>
      </c>
      <c r="I117" s="605">
        <f>+I36/I69</f>
        <v>136527.72805274566</v>
      </c>
      <c r="J117" s="605">
        <f>+J36/J69</f>
        <v>114097.15884912497</v>
      </c>
      <c r="K117" s="605">
        <f t="shared" ref="K117:L117" si="135">+K36/K69</f>
        <v>120396.65979667926</v>
      </c>
      <c r="L117" s="605">
        <f t="shared" si="135"/>
        <v>81496.65641511108</v>
      </c>
      <c r="M117" s="605">
        <f>+'Tab-14 CurrentData'!O117</f>
        <v>59104.739657542807</v>
      </c>
      <c r="N117" s="605">
        <f>+'Tab-14 CurrentData'!Q117</f>
        <v>159607.92762267718</v>
      </c>
    </row>
    <row r="118" spans="1:14" ht="12" thickTop="1" x14ac:dyDescent="0.2">
      <c r="B118" s="679"/>
      <c r="C118" s="607"/>
      <c r="D118" s="607"/>
      <c r="E118" s="607"/>
      <c r="F118" s="607"/>
      <c r="G118" s="607"/>
      <c r="H118" s="607"/>
      <c r="I118" s="607"/>
      <c r="J118" s="607"/>
      <c r="K118" s="607"/>
      <c r="L118" s="607"/>
      <c r="M118" s="607"/>
      <c r="N118" s="607"/>
    </row>
    <row r="119" spans="1:14" ht="12" thickBot="1" x14ac:dyDescent="0.25">
      <c r="A119" s="584"/>
      <c r="B119" s="694" t="s">
        <v>41</v>
      </c>
      <c r="C119" s="595"/>
      <c r="D119" s="595"/>
      <c r="E119" s="595"/>
      <c r="F119" s="595"/>
      <c r="G119" s="595"/>
      <c r="H119" s="595"/>
      <c r="I119" s="595"/>
      <c r="J119" s="595"/>
      <c r="K119" s="595"/>
      <c r="L119" s="595"/>
      <c r="M119" s="595"/>
      <c r="N119" s="595"/>
    </row>
    <row r="120" spans="1:14" x14ac:dyDescent="0.2">
      <c r="B120" s="693" t="s">
        <v>124</v>
      </c>
      <c r="C120" s="607">
        <f t="shared" ref="C120:H120" si="136">+C43/C73</f>
        <v>36034.577856386779</v>
      </c>
      <c r="D120" s="607">
        <f t="shared" si="136"/>
        <v>1262.9235687880955</v>
      </c>
      <c r="E120" s="607">
        <f t="shared" si="136"/>
        <v>12896.274391249381</v>
      </c>
      <c r="F120" s="607">
        <f t="shared" si="136"/>
        <v>21992.408612809362</v>
      </c>
      <c r="G120" s="607">
        <f t="shared" si="136"/>
        <v>27181.202479467556</v>
      </c>
      <c r="H120" s="607">
        <f t="shared" si="136"/>
        <v>29340.433248412486</v>
      </c>
      <c r="I120" s="607">
        <f>+I43/I73</f>
        <v>12546.212970179971</v>
      </c>
      <c r="J120" s="607">
        <f>+J43/J73</f>
        <v>-13275.311647965045</v>
      </c>
      <c r="K120" s="607">
        <f t="shared" ref="K120:L120" si="137">+K43/K73</f>
        <v>-9717.5594765374117</v>
      </c>
      <c r="L120" s="607">
        <f t="shared" si="137"/>
        <v>-33494.870900709386</v>
      </c>
      <c r="M120" s="607">
        <f>+'Tab-14 CurrentData'!O120</f>
        <v>1262.923568788091</v>
      </c>
      <c r="N120" s="607">
        <f>+'Tab-14 CurrentData'!Q120</f>
        <v>19993.209793375459</v>
      </c>
    </row>
    <row r="121" spans="1:14" ht="12" thickBot="1" x14ac:dyDescent="0.25">
      <c r="A121" s="667"/>
      <c r="B121" s="693" t="s">
        <v>125</v>
      </c>
      <c r="C121" s="605">
        <f t="shared" ref="C121:H121" si="138">+C43/C69</f>
        <v>49266.82609028522</v>
      </c>
      <c r="D121" s="605">
        <f t="shared" si="138"/>
        <v>1579.877765279346</v>
      </c>
      <c r="E121" s="605">
        <f t="shared" si="138"/>
        <v>17589.959815270198</v>
      </c>
      <c r="F121" s="605">
        <f t="shared" si="138"/>
        <v>28798.148031167686</v>
      </c>
      <c r="G121" s="605">
        <f t="shared" si="138"/>
        <v>35954.028814327503</v>
      </c>
      <c r="H121" s="605">
        <f t="shared" si="138"/>
        <v>38085.14370326497</v>
      </c>
      <c r="I121" s="605">
        <f>+I43/I69</f>
        <v>16173.560874277455</v>
      </c>
      <c r="J121" s="605">
        <f>+J43/J69</f>
        <v>-17938.172937951658</v>
      </c>
      <c r="K121" s="605">
        <f t="shared" ref="K121:L121" si="139">+K43/K69</f>
        <v>-13034.307018965797</v>
      </c>
      <c r="L121" s="605">
        <f t="shared" si="139"/>
        <v>-41485.364020944886</v>
      </c>
      <c r="M121" s="605">
        <f>+'Tab-14 CurrentData'!O121</f>
        <v>1579.8777652793403</v>
      </c>
      <c r="N121" s="605">
        <f>+'Tab-14 CurrentData'!Q121</f>
        <v>25713.079613081925</v>
      </c>
    </row>
    <row r="122" spans="1:14" ht="12" thickTop="1" x14ac:dyDescent="0.2">
      <c r="B122" s="679"/>
      <c r="C122" s="612"/>
      <c r="D122" s="612"/>
      <c r="E122" s="612"/>
      <c r="F122" s="612"/>
      <c r="G122" s="612"/>
      <c r="H122" s="612"/>
      <c r="I122" s="612"/>
      <c r="J122" s="612"/>
      <c r="K122" s="612"/>
      <c r="L122" s="612"/>
      <c r="M122" s="612"/>
      <c r="N122" s="612"/>
    </row>
    <row r="123" spans="1:14" x14ac:dyDescent="0.2">
      <c r="A123" s="573"/>
      <c r="B123" s="662"/>
      <c r="C123" s="612"/>
      <c r="D123" s="612"/>
      <c r="E123" s="612"/>
      <c r="F123" s="612"/>
      <c r="G123" s="612"/>
      <c r="H123" s="612"/>
      <c r="I123" s="612"/>
      <c r="J123" s="612"/>
      <c r="K123" s="612"/>
      <c r="L123" s="612"/>
      <c r="M123" s="612"/>
      <c r="N123" s="612"/>
    </row>
    <row r="124" spans="1:14" ht="12" thickBot="1" x14ac:dyDescent="0.25">
      <c r="A124" s="691"/>
      <c r="B124" s="585" t="s">
        <v>42</v>
      </c>
      <c r="C124" s="649">
        <f t="shared" ref="C124" si="140">+C125*C126</f>
        <v>2.251791754737392</v>
      </c>
      <c r="D124" s="649">
        <f t="shared" ref="D124:J124" si="141">+D125*D126</f>
        <v>1.646468840709985</v>
      </c>
      <c r="E124" s="649">
        <f t="shared" si="141"/>
        <v>1.8265927103061683</v>
      </c>
      <c r="F124" s="649">
        <f t="shared" si="141"/>
        <v>1.9461480881138165</v>
      </c>
      <c r="G124" s="649">
        <f t="shared" si="141"/>
        <v>1.9330952417458296</v>
      </c>
      <c r="H124" s="649">
        <f t="shared" si="141"/>
        <v>2.0828889572802241</v>
      </c>
      <c r="I124" s="649">
        <f t="shared" si="141"/>
        <v>1.7362532372789441</v>
      </c>
      <c r="J124" s="649">
        <f t="shared" si="141"/>
        <v>1.3858769366890458</v>
      </c>
      <c r="K124" s="649">
        <f t="shared" ref="K124:L124" si="142">+K125*K126</f>
        <v>1.4685015609029448</v>
      </c>
      <c r="L124" s="649">
        <f t="shared" si="142"/>
        <v>1.1000494792033937</v>
      </c>
      <c r="M124" s="649">
        <f>+'Tab-14 CurrentData'!O124</f>
        <v>1.646468840709985</v>
      </c>
      <c r="N124" s="649">
        <f>+'Tab-14 CurrentData'!Q124</f>
        <v>1.8545297279634247</v>
      </c>
    </row>
    <row r="125" spans="1:14" x14ac:dyDescent="0.2">
      <c r="B125" s="588" t="s">
        <v>43</v>
      </c>
      <c r="C125" s="681">
        <f t="shared" ref="C125" si="143">+C109</f>
        <v>3.9594571487990664</v>
      </c>
      <c r="D125" s="681">
        <f t="shared" ref="D125:J125" si="144">+D109</f>
        <v>2.5287692764231884</v>
      </c>
      <c r="E125" s="681">
        <f t="shared" si="144"/>
        <v>3.2741021152543093</v>
      </c>
      <c r="F125" s="681">
        <f t="shared" si="144"/>
        <v>3.6146604304895282</v>
      </c>
      <c r="G125" s="681">
        <f t="shared" si="144"/>
        <v>3.6772893592287215</v>
      </c>
      <c r="H125" s="681">
        <f t="shared" si="144"/>
        <v>3.437128372173305</v>
      </c>
      <c r="I125" s="681">
        <f t="shared" si="144"/>
        <v>3.3218803305072204</v>
      </c>
      <c r="J125" s="681">
        <f t="shared" si="144"/>
        <v>2.6301617455342603</v>
      </c>
      <c r="K125" s="681">
        <f t="shared" ref="K125:L125" si="145">+K109</f>
        <v>2.7894437878803098</v>
      </c>
      <c r="L125" s="681">
        <f t="shared" si="145"/>
        <v>1.7515788618091759</v>
      </c>
      <c r="M125" s="681">
        <f>+'Tab-14 CurrentData'!O125</f>
        <v>2.5287692764231884</v>
      </c>
      <c r="N125" s="681">
        <f>+'Tab-14 CurrentData'!Q125</f>
        <v>3.8140606926114775</v>
      </c>
    </row>
    <row r="126" spans="1:14" ht="12" thickBot="1" x14ac:dyDescent="0.25">
      <c r="A126" s="695"/>
      <c r="B126" s="661" t="s">
        <v>44</v>
      </c>
      <c r="C126" s="310">
        <f t="shared" ref="C126" si="146">+C85</f>
        <v>0.56871224264174136</v>
      </c>
      <c r="D126" s="310">
        <f t="shared" ref="D126:J126" si="147">+D85</f>
        <v>0.65109492434154725</v>
      </c>
      <c r="E126" s="310">
        <f t="shared" si="147"/>
        <v>0.55789118543246519</v>
      </c>
      <c r="F126" s="310">
        <f t="shared" si="147"/>
        <v>0.53840412551567185</v>
      </c>
      <c r="G126" s="310">
        <f t="shared" si="147"/>
        <v>0.52568483274084232</v>
      </c>
      <c r="H126" s="310">
        <f t="shared" si="147"/>
        <v>0.60599684729354697</v>
      </c>
      <c r="I126" s="310">
        <f t="shared" si="147"/>
        <v>0.52267181973224008</v>
      </c>
      <c r="J126" s="310">
        <f t="shared" si="147"/>
        <v>0.52691700008264508</v>
      </c>
      <c r="K126" s="310">
        <f t="shared" ref="K126:L126" si="148">+K85</f>
        <v>0.5264495980465177</v>
      </c>
      <c r="L126" s="310">
        <f t="shared" si="148"/>
        <v>0.62803308671307634</v>
      </c>
      <c r="M126" s="310">
        <f>+'Tab-14 CurrentData'!O126</f>
        <v>0.65109492434154725</v>
      </c>
      <c r="N126" s="310">
        <f>+'Tab-14 CurrentData'!Q126</f>
        <v>0.4862349808842798</v>
      </c>
    </row>
    <row r="127" spans="1:14" ht="12" thickTop="1" x14ac:dyDescent="0.2">
      <c r="B127" s="588"/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  <c r="N127" s="308"/>
    </row>
    <row r="128" spans="1:14" x14ac:dyDescent="0.2">
      <c r="B128" s="588"/>
      <c r="C128" s="308"/>
      <c r="D128" s="308"/>
      <c r="E128" s="308"/>
      <c r="F128" s="308"/>
      <c r="G128" s="308"/>
      <c r="H128" s="308"/>
      <c r="I128" s="308"/>
      <c r="J128" s="308"/>
      <c r="K128" s="308"/>
      <c r="L128" s="308"/>
      <c r="M128" s="308"/>
      <c r="N128" s="308"/>
    </row>
    <row r="129" spans="1:14" ht="12" thickBot="1" x14ac:dyDescent="0.25">
      <c r="A129" s="584"/>
      <c r="B129" s="585" t="s">
        <v>126</v>
      </c>
      <c r="C129" s="696">
        <f t="shared" ref="C129" si="149">+C130/C131</f>
        <v>2.2517917547373925</v>
      </c>
      <c r="D129" s="696">
        <f t="shared" ref="D129:J129" si="150">+D130/D131</f>
        <v>1.6464688407099852</v>
      </c>
      <c r="E129" s="696">
        <f t="shared" si="150"/>
        <v>1.8265927103061685</v>
      </c>
      <c r="F129" s="696">
        <f t="shared" si="150"/>
        <v>1.9461480881138165</v>
      </c>
      <c r="G129" s="696">
        <f t="shared" si="150"/>
        <v>1.9330952417458298</v>
      </c>
      <c r="H129" s="696">
        <f t="shared" si="150"/>
        <v>2.0828889572802241</v>
      </c>
      <c r="I129" s="696">
        <f t="shared" si="150"/>
        <v>1.7362532372789439</v>
      </c>
      <c r="J129" s="696">
        <f t="shared" si="150"/>
        <v>1.3858769366890455</v>
      </c>
      <c r="K129" s="696">
        <f t="shared" ref="K129:L129" si="151">+K130/K131</f>
        <v>1.468501560902945</v>
      </c>
      <c r="L129" s="696">
        <f t="shared" si="151"/>
        <v>1.1000494792033937</v>
      </c>
      <c r="M129" s="696">
        <f>+'Tab-14 CurrentData'!O129</f>
        <v>1.6464688407099852</v>
      </c>
      <c r="N129" s="696">
        <f>+'Tab-14 CurrentData'!Q129</f>
        <v>1.8545297279634247</v>
      </c>
    </row>
    <row r="130" spans="1:14" x14ac:dyDescent="0.2">
      <c r="B130" s="588" t="s">
        <v>31</v>
      </c>
      <c r="C130" s="647">
        <f t="shared" ref="C130" si="152">+C36</f>
        <v>4869754.6399999997</v>
      </c>
      <c r="D130" s="647">
        <f t="shared" ref="D130:J130" si="153">+D36</f>
        <v>909417.35000000009</v>
      </c>
      <c r="E130" s="647">
        <f t="shared" si="153"/>
        <v>4314949</v>
      </c>
      <c r="F130" s="647">
        <f t="shared" si="153"/>
        <v>4881221.8299999991</v>
      </c>
      <c r="G130" s="647">
        <f t="shared" si="153"/>
        <v>5295293</v>
      </c>
      <c r="H130" s="647">
        <f t="shared" si="153"/>
        <v>6212912</v>
      </c>
      <c r="I130" s="647">
        <f t="shared" si="153"/>
        <v>5791705</v>
      </c>
      <c r="J130" s="647">
        <f t="shared" si="153"/>
        <v>2850735</v>
      </c>
      <c r="K130" s="647">
        <f t="shared" ref="K130:L130" si="154">+K36</f>
        <v>2499562</v>
      </c>
      <c r="L130" s="647">
        <f t="shared" si="154"/>
        <v>1324438.21</v>
      </c>
      <c r="M130" s="647">
        <f>+'Tab-14 CurrentData'!O130</f>
        <v>909417.35000000009</v>
      </c>
      <c r="N130" s="647">
        <f>+'Tab-14 CurrentData'!Q130</f>
        <v>2312487.3788384832</v>
      </c>
    </row>
    <row r="131" spans="1:14" ht="12" thickBot="1" x14ac:dyDescent="0.25">
      <c r="A131" s="667"/>
      <c r="B131" s="603" t="s">
        <v>45</v>
      </c>
      <c r="C131" s="692">
        <f t="shared" ref="C131" si="155">+C102</f>
        <v>2162613.23</v>
      </c>
      <c r="D131" s="692">
        <f t="shared" ref="D131:J131" si="156">+D102</f>
        <v>552344.1</v>
      </c>
      <c r="E131" s="692">
        <f t="shared" si="156"/>
        <v>2362294</v>
      </c>
      <c r="F131" s="692">
        <f t="shared" si="156"/>
        <v>2508145.12</v>
      </c>
      <c r="G131" s="692">
        <f t="shared" si="156"/>
        <v>2739282</v>
      </c>
      <c r="H131" s="692">
        <f t="shared" si="156"/>
        <v>2982834</v>
      </c>
      <c r="I131" s="692">
        <f t="shared" si="156"/>
        <v>3335749</v>
      </c>
      <c r="J131" s="692">
        <f t="shared" si="156"/>
        <v>2056990</v>
      </c>
      <c r="K131" s="692">
        <f t="shared" ref="K131:L131" si="157">+K102</f>
        <v>1702117.36</v>
      </c>
      <c r="L131" s="692">
        <f t="shared" si="157"/>
        <v>1203980.58</v>
      </c>
      <c r="M131" s="692">
        <f>+'Tab-14 CurrentData'!O131</f>
        <v>552344.1</v>
      </c>
      <c r="N131" s="692">
        <f>+'Tab-14 CurrentData'!Q131</f>
        <v>1246940.0430576922</v>
      </c>
    </row>
    <row r="132" spans="1:14" ht="12" thickTop="1" x14ac:dyDescent="0.2">
      <c r="B132" s="588"/>
      <c r="N132" s="612"/>
    </row>
    <row r="133" spans="1:14" x14ac:dyDescent="0.2">
      <c r="B133" s="588"/>
      <c r="N133" s="612"/>
    </row>
    <row r="134" spans="1:14" x14ac:dyDescent="0.2">
      <c r="A134" s="562"/>
    </row>
    <row r="135" spans="1:14" x14ac:dyDescent="0.2">
      <c r="A135" s="562"/>
    </row>
    <row r="136" spans="1:14" x14ac:dyDescent="0.2">
      <c r="A136" s="562"/>
    </row>
    <row r="137" spans="1:14" x14ac:dyDescent="0.2">
      <c r="A137" s="562"/>
    </row>
    <row r="138" spans="1:14" x14ac:dyDescent="0.2">
      <c r="A138" s="562"/>
    </row>
    <row r="139" spans="1:14" x14ac:dyDescent="0.2">
      <c r="A139" s="562"/>
    </row>
    <row r="140" spans="1:14" x14ac:dyDescent="0.2">
      <c r="A140" s="562"/>
    </row>
    <row r="141" spans="1:14" x14ac:dyDescent="0.2">
      <c r="A141" s="562"/>
    </row>
    <row r="142" spans="1:14" x14ac:dyDescent="0.2">
      <c r="A142" s="562"/>
    </row>
  </sheetData>
  <phoneticPr fontId="4" type="noConversion"/>
  <printOptions horizontalCentered="1" verticalCentered="1" headings="1"/>
  <pageMargins left="0.75" right="0.75" top="1" bottom="1" header="0.5" footer="0.5"/>
  <pageSetup scale="66" fitToHeight="0" orientation="landscape" blackAndWhite="1" horizontalDpi="300" verticalDpi="300" r:id="rId1"/>
  <headerFooter alignWithMargins="0">
    <oddHeader>&amp;L&amp;"Arial,Regular"&amp;D
&amp;T&amp;C&amp;"Times New Roman,Italic"CAPP * Computer Aided Profit Plan
For Design Firm Financial Control
Executive Summary Analysis of Operations</oddHeader>
    <oddFooter>&amp;L&amp;A&amp;R&amp;P</oddFooter>
  </headerFooter>
  <rowBreaks count="3" manualBreakCount="3">
    <brk id="27" max="16383" man="1"/>
    <brk id="76" max="16383" man="1"/>
    <brk id="10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M167"/>
  <sheetViews>
    <sheetView zoomScaleNormal="100" workbookViewId="0">
      <pane xSplit="2" ySplit="6" topLeftCell="C73" activePane="bottomRight" state="frozen"/>
      <selection pane="topRight" activeCell="C1" sqref="C1"/>
      <selection pane="bottomLeft" activeCell="A7" sqref="A7"/>
      <selection pane="bottomRight" activeCell="J83" sqref="J83"/>
    </sheetView>
  </sheetViews>
  <sheetFormatPr defaultColWidth="8" defaultRowHeight="12.75" x14ac:dyDescent="0.2"/>
  <cols>
    <col min="1" max="1" width="4.125" style="897" customWidth="1"/>
    <col min="2" max="2" width="20.25" style="877" customWidth="1"/>
    <col min="3" max="4" width="10.25" style="876" bestFit="1" customWidth="1"/>
    <col min="5" max="5" width="10.75" style="876" customWidth="1"/>
    <col min="6" max="6" width="9.625" style="877" customWidth="1"/>
    <col min="7" max="7" width="6.25" style="878" customWidth="1"/>
    <col min="8" max="8" width="8.625" style="877" bestFit="1" customWidth="1"/>
    <col min="9" max="10" width="7.5" style="878" customWidth="1"/>
    <col min="11" max="12" width="8" style="879" customWidth="1"/>
    <col min="13" max="13" width="7.25" style="877" bestFit="1" customWidth="1"/>
    <col min="14" max="16384" width="8" style="877"/>
  </cols>
  <sheetData>
    <row r="1" spans="1:13" x14ac:dyDescent="0.2">
      <c r="A1" s="875"/>
      <c r="B1" s="1081" t="s">
        <v>1110</v>
      </c>
    </row>
    <row r="2" spans="1:13" x14ac:dyDescent="0.2">
      <c r="A2" s="875"/>
      <c r="B2" s="890" t="s">
        <v>1109</v>
      </c>
    </row>
    <row r="3" spans="1:13" x14ac:dyDescent="0.2">
      <c r="A3" s="880"/>
      <c r="B3" s="1082" t="s">
        <v>1111</v>
      </c>
      <c r="C3" s="1083">
        <f>+'Tab-14 CurrentData'!O6</f>
        <v>41090</v>
      </c>
      <c r="D3" s="881">
        <f>+'Tab-14 CurrentData'!O6</f>
        <v>41090</v>
      </c>
      <c r="E3" s="881">
        <f>+'Tab-14 CurrentData'!P6</f>
        <v>40724</v>
      </c>
      <c r="F3" s="875"/>
      <c r="H3" s="875"/>
      <c r="K3" s="881">
        <f>+C3</f>
        <v>41090</v>
      </c>
      <c r="L3" s="881">
        <f>+D3</f>
        <v>41090</v>
      </c>
      <c r="M3" s="881">
        <f>+E3</f>
        <v>40724</v>
      </c>
    </row>
    <row r="4" spans="1:13" ht="18.75" x14ac:dyDescent="0.3">
      <c r="A4" s="880"/>
      <c r="B4" s="1079">
        <f>+'Tab-14 CurrentData'!O5</f>
        <v>6</v>
      </c>
      <c r="C4" s="882" t="s">
        <v>144</v>
      </c>
      <c r="D4" s="882" t="s">
        <v>144</v>
      </c>
      <c r="E4" s="882" t="s">
        <v>59</v>
      </c>
      <c r="F4" s="883" t="s">
        <v>144</v>
      </c>
      <c r="G4" s="884" t="s">
        <v>144</v>
      </c>
      <c r="H4" s="884" t="s">
        <v>59</v>
      </c>
      <c r="I4" s="878" t="s">
        <v>59</v>
      </c>
      <c r="J4" s="878" t="s">
        <v>144</v>
      </c>
      <c r="K4" s="882" t="s">
        <v>144</v>
      </c>
      <c r="L4" s="882" t="s">
        <v>144</v>
      </c>
      <c r="M4" s="882" t="s">
        <v>59</v>
      </c>
    </row>
    <row r="5" spans="1:13" s="888" customFormat="1" ht="18.75" x14ac:dyDescent="0.3">
      <c r="A5" s="885"/>
      <c r="B5" s="1080">
        <f>+'Tab-14 CurrentData'!O6</f>
        <v>41090</v>
      </c>
      <c r="C5" s="882" t="s">
        <v>60</v>
      </c>
      <c r="D5" s="882" t="s">
        <v>60</v>
      </c>
      <c r="E5" s="882" t="s">
        <v>60</v>
      </c>
      <c r="F5" s="886" t="s">
        <v>60</v>
      </c>
      <c r="G5" s="884" t="s">
        <v>60</v>
      </c>
      <c r="H5" s="887" t="s">
        <v>60</v>
      </c>
      <c r="I5" s="878" t="s">
        <v>60</v>
      </c>
      <c r="J5" s="878" t="s">
        <v>60</v>
      </c>
      <c r="K5" s="882" t="s">
        <v>60</v>
      </c>
      <c r="L5" s="882" t="s">
        <v>60</v>
      </c>
      <c r="M5" s="882" t="s">
        <v>60</v>
      </c>
    </row>
    <row r="6" spans="1:13" s="896" customFormat="1" x14ac:dyDescent="0.2">
      <c r="A6" s="889"/>
      <c r="B6" s="890"/>
      <c r="C6" s="891" t="s">
        <v>0</v>
      </c>
      <c r="D6" s="891" t="s">
        <v>51</v>
      </c>
      <c r="E6" s="891" t="s">
        <v>0</v>
      </c>
      <c r="F6" s="892" t="s">
        <v>57</v>
      </c>
      <c r="G6" s="893" t="s">
        <v>145</v>
      </c>
      <c r="H6" s="894" t="s">
        <v>57</v>
      </c>
      <c r="I6" s="895" t="s">
        <v>145</v>
      </c>
      <c r="J6" s="895" t="s">
        <v>146</v>
      </c>
      <c r="K6" s="891" t="s">
        <v>0</v>
      </c>
      <c r="L6" s="891" t="s">
        <v>51</v>
      </c>
      <c r="M6" s="891" t="s">
        <v>0</v>
      </c>
    </row>
    <row r="7" spans="1:13" x14ac:dyDescent="0.2">
      <c r="F7" s="898"/>
    </row>
    <row r="8" spans="1:13" ht="13.5" thickBot="1" x14ac:dyDescent="0.25">
      <c r="A8" s="899"/>
      <c r="B8" s="900" t="s">
        <v>164</v>
      </c>
      <c r="C8" s="901"/>
      <c r="D8" s="901"/>
      <c r="E8" s="901"/>
      <c r="F8" s="902"/>
      <c r="H8" s="903"/>
    </row>
    <row r="9" spans="1:13" x14ac:dyDescent="0.2">
      <c r="A9" s="904"/>
      <c r="B9" s="905" t="s">
        <v>76</v>
      </c>
      <c r="C9" s="906">
        <f>+'Tab-14 CurrentData'!O9</f>
        <v>11349</v>
      </c>
      <c r="D9" s="906">
        <f>+'Tab-14 CurrentData'!R9*'Tab-14 CurrentData'!$O$5</f>
        <v>11284</v>
      </c>
      <c r="E9" s="906">
        <f>+'Tab-14 CurrentData'!P9</f>
        <v>10444</v>
      </c>
      <c r="F9" s="906">
        <f>+Technical.direct.Actual.YTD-Technical.direct.Budget.YTD</f>
        <v>65</v>
      </c>
      <c r="G9" s="907" t="str">
        <f>IF(F9&gt;=0,"over","under")</f>
        <v>over</v>
      </c>
      <c r="H9" s="906">
        <f>+Technical.direct.Actual.YTD-Technical.direct.Last.YTD</f>
        <v>905</v>
      </c>
      <c r="I9" s="907" t="str">
        <f>IF(H9&gt;=0,"more","less")</f>
        <v>more</v>
      </c>
      <c r="J9" s="907"/>
    </row>
    <row r="10" spans="1:13" x14ac:dyDescent="0.2">
      <c r="A10" s="904"/>
      <c r="B10" s="905" t="s">
        <v>77</v>
      </c>
      <c r="C10" s="906">
        <f>+'Tab-14 CurrentData'!O10</f>
        <v>3939</v>
      </c>
      <c r="D10" s="906">
        <f>+'Tab-14 CurrentData'!R10*'Tab-14 CurrentData'!$O$5</f>
        <v>2604</v>
      </c>
      <c r="E10" s="906">
        <f>+'Tab-14 CurrentData'!P10</f>
        <v>4659</v>
      </c>
      <c r="F10" s="906">
        <f>Actual.YTD-D10</f>
        <v>1335</v>
      </c>
      <c r="G10" s="907"/>
      <c r="H10" s="906">
        <f>Actual.YTD-E10</f>
        <v>-720</v>
      </c>
      <c r="I10" s="907"/>
      <c r="J10" s="907"/>
    </row>
    <row r="11" spans="1:13" ht="13.5" thickBot="1" x14ac:dyDescent="0.25">
      <c r="A11" s="908"/>
      <c r="B11" s="909" t="s">
        <v>78</v>
      </c>
      <c r="C11" s="910">
        <f>+'Tab-14 CurrentData'!O11</f>
        <v>714</v>
      </c>
      <c r="D11" s="910">
        <f>+'Tab-14 CurrentData'!R11*'Tab-14 CurrentData'!$O$5</f>
        <v>1296</v>
      </c>
      <c r="E11" s="910">
        <f>+'Tab-14 CurrentData'!P11</f>
        <v>877</v>
      </c>
      <c r="F11" s="910">
        <f>Actual.YTD-D11</f>
        <v>-582</v>
      </c>
      <c r="G11" s="907"/>
      <c r="H11" s="910">
        <f>Actual.YTD-E11</f>
        <v>-163</v>
      </c>
      <c r="I11" s="907"/>
      <c r="J11" s="907"/>
    </row>
    <row r="12" spans="1:13" ht="13.5" thickBot="1" x14ac:dyDescent="0.25">
      <c r="A12" s="908"/>
      <c r="B12" s="909" t="s">
        <v>17</v>
      </c>
      <c r="C12" s="911">
        <f>+'Tab-14 CurrentData'!O12</f>
        <v>16002</v>
      </c>
      <c r="D12" s="911">
        <f>+'Tab-14 CurrentData'!R12*'Tab-14 CurrentData'!$O$5</f>
        <v>15184</v>
      </c>
      <c r="E12" s="911">
        <f>+'Tab-14 CurrentData'!P12</f>
        <v>15980</v>
      </c>
      <c r="F12" s="911">
        <f>+Technical_direct+Technical_indirect+Technical_indirect_PTO</f>
        <v>818</v>
      </c>
      <c r="G12" s="907"/>
      <c r="H12" s="911">
        <f>+Technical_direct+Technical_indirect+Technical_indirect_PTO</f>
        <v>22</v>
      </c>
      <c r="I12" s="907"/>
      <c r="J12" s="912"/>
      <c r="K12" s="877"/>
      <c r="L12" s="877"/>
    </row>
    <row r="13" spans="1:13" x14ac:dyDescent="0.2">
      <c r="A13" s="913"/>
      <c r="B13" s="914" t="s">
        <v>79</v>
      </c>
      <c r="C13" s="906">
        <f>+'Tab-14 CurrentData'!O13</f>
        <v>3704</v>
      </c>
      <c r="D13" s="906">
        <f>+'Tab-14 CurrentData'!R13*'Tab-14 CurrentData'!$O$5</f>
        <v>4056</v>
      </c>
      <c r="E13" s="906">
        <f>+'Tab-14 CurrentData'!P13</f>
        <v>3744</v>
      </c>
      <c r="F13" s="906">
        <f>Actual.YTD-D13</f>
        <v>-352</v>
      </c>
      <c r="G13" s="907"/>
      <c r="H13" s="906">
        <f>Actual.YTD-E13</f>
        <v>-40</v>
      </c>
      <c r="I13" s="907"/>
      <c r="J13" s="907"/>
    </row>
    <row r="14" spans="1:13" ht="13.5" thickBot="1" x14ac:dyDescent="0.25">
      <c r="A14" s="908"/>
      <c r="B14" s="909" t="s">
        <v>80</v>
      </c>
      <c r="C14" s="910">
        <f>+'Tab-14 CurrentData'!O14</f>
        <v>312</v>
      </c>
      <c r="D14" s="910">
        <f>+'Tab-14 CurrentData'!R14*'Tab-14 CurrentData'!$O$5</f>
        <v>288</v>
      </c>
      <c r="E14" s="910">
        <f>+'Tab-14 CurrentData'!P14</f>
        <v>272</v>
      </c>
      <c r="F14" s="910">
        <f>Actual.YTD-D14</f>
        <v>24</v>
      </c>
      <c r="G14" s="907"/>
      <c r="H14" s="910">
        <f>Actual.YTD-E14</f>
        <v>40</v>
      </c>
      <c r="I14" s="907"/>
      <c r="J14" s="907"/>
    </row>
    <row r="15" spans="1:13" ht="13.5" thickBot="1" x14ac:dyDescent="0.25">
      <c r="A15" s="908"/>
      <c r="B15" s="909" t="s">
        <v>18</v>
      </c>
      <c r="C15" s="911">
        <f>+'Tab-14 CurrentData'!O15</f>
        <v>4016</v>
      </c>
      <c r="D15" s="911">
        <f>+'Tab-14 CurrentData'!R15*'Tab-14 CurrentData'!$O$5</f>
        <v>4344</v>
      </c>
      <c r="E15" s="911">
        <f>+'Tab-14 CurrentData'!P15</f>
        <v>4016</v>
      </c>
      <c r="F15" s="911">
        <f>+Non_technical_indirect+Non_technical_indirect_PTO</f>
        <v>-328</v>
      </c>
      <c r="G15" s="907"/>
      <c r="H15" s="911">
        <f>+Non_technical_indirect+Non_technical_indirect_PTO</f>
        <v>0</v>
      </c>
      <c r="I15" s="907"/>
      <c r="J15" s="912"/>
      <c r="K15" s="877"/>
      <c r="L15" s="877"/>
    </row>
    <row r="16" spans="1:13" s="916" customFormat="1" x14ac:dyDescent="0.2">
      <c r="A16" s="915"/>
      <c r="C16" s="917"/>
      <c r="D16" s="917"/>
      <c r="E16" s="917"/>
      <c r="F16" s="917"/>
      <c r="G16" s="907"/>
      <c r="H16" s="917"/>
      <c r="I16" s="907"/>
      <c r="J16" s="918"/>
    </row>
    <row r="17" spans="1:13" ht="13.5" thickBot="1" x14ac:dyDescent="0.25">
      <c r="A17" s="919"/>
      <c r="B17" s="920" t="s">
        <v>81</v>
      </c>
      <c r="C17" s="921">
        <f>+'Tab-14 CurrentData'!O17</f>
        <v>20018</v>
      </c>
      <c r="D17" s="921">
        <f>+'Tab-14 CurrentData'!R17*'Tab-14 CurrentData'!$O$5</f>
        <v>19528</v>
      </c>
      <c r="E17" s="921">
        <f>+'Tab-14 CurrentData'!P17</f>
        <v>19996</v>
      </c>
      <c r="F17" s="921">
        <f>+F12+F15</f>
        <v>490</v>
      </c>
      <c r="G17" s="907" t="str">
        <f>IF(F17&gt;=0,"over","under")</f>
        <v>over</v>
      </c>
      <c r="H17" s="921">
        <f>+H12+H15</f>
        <v>22</v>
      </c>
      <c r="I17" s="907" t="str">
        <f>IF(H17&gt;=0,"more","less")</f>
        <v>more</v>
      </c>
      <c r="J17" s="912"/>
      <c r="K17" s="877"/>
      <c r="L17" s="877"/>
    </row>
    <row r="18" spans="1:13" ht="13.5" thickTop="1" x14ac:dyDescent="0.2">
      <c r="A18" s="922"/>
      <c r="B18" s="914"/>
      <c r="C18" s="906"/>
      <c r="D18" s="906"/>
      <c r="E18" s="917"/>
      <c r="F18" s="906"/>
      <c r="G18" s="907"/>
      <c r="H18" s="906"/>
      <c r="I18" s="907"/>
    </row>
    <row r="19" spans="1:13" ht="13.5" thickBot="1" x14ac:dyDescent="0.25">
      <c r="A19" s="923"/>
      <c r="B19" s="924" t="s">
        <v>82</v>
      </c>
      <c r="C19" s="925">
        <f>+'Tab-14 CurrentData'!O19</f>
        <v>1040</v>
      </c>
      <c r="D19" s="925">
        <f>+'Tab-14 CurrentData'!R19*'Tab-14 CurrentData'!$O$5</f>
        <v>1048</v>
      </c>
      <c r="E19" s="921">
        <f>+'Tab-14 CurrentData'!P19</f>
        <v>1040</v>
      </c>
      <c r="F19" s="925">
        <f>Actual.YTD-D19</f>
        <v>-8</v>
      </c>
      <c r="G19" s="907"/>
      <c r="H19" s="925">
        <f>Actual.YTD-E19</f>
        <v>0</v>
      </c>
      <c r="I19" s="907"/>
      <c r="J19" s="926"/>
    </row>
    <row r="20" spans="1:13" ht="13.5" thickTop="1" x14ac:dyDescent="0.2">
      <c r="A20" s="927"/>
      <c r="B20" s="914"/>
      <c r="C20" s="886"/>
      <c r="D20" s="886"/>
      <c r="E20" s="886"/>
      <c r="F20" s="886"/>
      <c r="G20" s="907"/>
      <c r="H20" s="928"/>
      <c r="I20" s="907"/>
    </row>
    <row r="21" spans="1:13" x14ac:dyDescent="0.2">
      <c r="A21" s="927"/>
      <c r="B21" s="929"/>
      <c r="C21" s="886"/>
      <c r="D21" s="886"/>
      <c r="E21" s="886"/>
      <c r="F21" s="930"/>
      <c r="G21" s="907"/>
      <c r="H21" s="928"/>
      <c r="I21" s="907"/>
    </row>
    <row r="22" spans="1:13" ht="13.5" thickBot="1" x14ac:dyDescent="0.25">
      <c r="A22" s="931"/>
      <c r="B22" s="900" t="s">
        <v>165</v>
      </c>
      <c r="C22" s="932"/>
      <c r="D22" s="932"/>
      <c r="E22" s="932"/>
      <c r="F22" s="933"/>
      <c r="G22" s="907"/>
      <c r="H22" s="934"/>
      <c r="I22" s="907"/>
    </row>
    <row r="23" spans="1:13" x14ac:dyDescent="0.2">
      <c r="A23" s="935"/>
      <c r="B23" s="936" t="s">
        <v>83</v>
      </c>
      <c r="C23" s="937">
        <f>+'Tab-14 CurrentData'!O23</f>
        <v>194</v>
      </c>
      <c r="D23" s="937">
        <v>0</v>
      </c>
      <c r="E23" s="928">
        <f>+'Tab-14 CurrentData'!P23</f>
        <v>172</v>
      </c>
      <c r="F23" s="928">
        <f>C23-D23</f>
        <v>194</v>
      </c>
      <c r="G23" s="907" t="str">
        <f>IF(F23&gt;=0,"over","under")</f>
        <v>over</v>
      </c>
      <c r="H23" s="928">
        <f>C23-E23</f>
        <v>22</v>
      </c>
      <c r="I23" s="907" t="str">
        <f>IF(H23&gt;=0,"more","less")</f>
        <v>more</v>
      </c>
    </row>
    <row r="24" spans="1:13" ht="13.5" thickBot="1" x14ac:dyDescent="0.25">
      <c r="A24" s="931"/>
      <c r="B24" s="938" t="s">
        <v>84</v>
      </c>
      <c r="C24" s="939">
        <f>+'Tab-14 CurrentData'!O24</f>
        <v>0</v>
      </c>
      <c r="D24" s="939">
        <v>0</v>
      </c>
      <c r="E24" s="934">
        <f>+'Tab-14 CurrentData'!P24</f>
        <v>0</v>
      </c>
      <c r="F24" s="934">
        <f>C24-D24</f>
        <v>0</v>
      </c>
      <c r="G24" s="907" t="str">
        <f>IF(F24&gt;=0,"over","under")</f>
        <v>over</v>
      </c>
      <c r="H24" s="934">
        <f>C24-E24</f>
        <v>0</v>
      </c>
      <c r="I24" s="907" t="str">
        <f>IF(H24&gt;=0,"more","less")</f>
        <v>more</v>
      </c>
    </row>
    <row r="25" spans="1:13" ht="13.5" thickBot="1" x14ac:dyDescent="0.25">
      <c r="A25" s="940"/>
      <c r="B25" s="941" t="s">
        <v>12</v>
      </c>
      <c r="C25" s="942">
        <f>+'Tab-14 CurrentData'!O25</f>
        <v>194</v>
      </c>
      <c r="D25" s="942">
        <f>+D23+D24</f>
        <v>0</v>
      </c>
      <c r="E25" s="942">
        <f>+'Tab-14 CurrentData'!P25</f>
        <v>172</v>
      </c>
      <c r="F25" s="942">
        <f>+F23+F24</f>
        <v>194</v>
      </c>
      <c r="G25" s="907" t="str">
        <f>IF(F25&gt;=0,"over","under")</f>
        <v>over</v>
      </c>
      <c r="H25" s="942">
        <f>+H23+H24</f>
        <v>22</v>
      </c>
      <c r="I25" s="907" t="str">
        <f>IF(H25&gt;=0,"more","less")</f>
        <v>more</v>
      </c>
    </row>
    <row r="26" spans="1:13" ht="13.5" thickTop="1" x14ac:dyDescent="0.2">
      <c r="A26" s="943"/>
      <c r="B26" s="914"/>
      <c r="C26" s="944"/>
      <c r="D26" s="944"/>
      <c r="E26" s="944"/>
      <c r="F26" s="930"/>
      <c r="G26" s="907"/>
      <c r="H26" s="928"/>
      <c r="I26" s="907"/>
      <c r="K26" s="881"/>
      <c r="L26" s="881"/>
      <c r="M26" s="881"/>
    </row>
    <row r="27" spans="1:13" x14ac:dyDescent="0.2">
      <c r="A27" s="943"/>
      <c r="B27" s="914"/>
      <c r="C27" s="944"/>
      <c r="D27" s="944"/>
      <c r="E27" s="944"/>
      <c r="F27" s="930"/>
      <c r="G27" s="907"/>
      <c r="H27" s="928"/>
      <c r="I27" s="907"/>
      <c r="K27" s="882"/>
      <c r="L27" s="882"/>
      <c r="M27" s="882"/>
    </row>
    <row r="28" spans="1:13" x14ac:dyDescent="0.2">
      <c r="F28" s="898"/>
      <c r="G28" s="907"/>
      <c r="I28" s="907"/>
      <c r="J28" s="890"/>
      <c r="K28" s="882"/>
      <c r="L28" s="882"/>
      <c r="M28" s="882"/>
    </row>
    <row r="29" spans="1:13" ht="13.5" thickBot="1" x14ac:dyDescent="0.25">
      <c r="A29" s="945" t="s">
        <v>85</v>
      </c>
      <c r="B29" s="900" t="s">
        <v>86</v>
      </c>
      <c r="C29" s="901"/>
      <c r="D29" s="901"/>
      <c r="E29" s="901"/>
      <c r="F29" s="902"/>
      <c r="G29" s="907"/>
      <c r="H29" s="903"/>
      <c r="I29" s="907"/>
      <c r="J29" s="890"/>
      <c r="K29" s="946"/>
      <c r="L29" s="946"/>
      <c r="M29" s="946"/>
    </row>
    <row r="30" spans="1:13" ht="13.5" thickBot="1" x14ac:dyDescent="0.25">
      <c r="A30" s="947"/>
      <c r="B30" s="948" t="s">
        <v>87</v>
      </c>
      <c r="C30" s="949">
        <f>+'Tab-14 CurrentData'!O30</f>
        <v>1.4771985051747694</v>
      </c>
      <c r="D30" s="949">
        <f>+D31/D36</f>
        <v>1.8771009256822935</v>
      </c>
      <c r="E30" s="949">
        <f>+'Tab-14 CurrentData'!P30</f>
        <v>1.6966703743644314</v>
      </c>
      <c r="F30" s="949">
        <f t="shared" ref="F30:F44" si="0">+C30-D30</f>
        <v>-0.39990242050752411</v>
      </c>
      <c r="G30" s="907" t="str">
        <f>IF(F30&gt;=0,"over","under")</f>
        <v>under</v>
      </c>
      <c r="H30" s="949">
        <f t="shared" ref="H30:H44" si="1">+C30-E30</f>
        <v>-0.21947186918966199</v>
      </c>
      <c r="I30" s="907" t="str">
        <f>IF(H30&gt;=0,"more","less")</f>
        <v>less</v>
      </c>
    </row>
    <row r="31" spans="1:13" ht="13.5" thickTop="1" x14ac:dyDescent="0.2">
      <c r="A31" s="950" t="s">
        <v>88</v>
      </c>
      <c r="B31" s="914" t="s">
        <v>39</v>
      </c>
      <c r="C31" s="951">
        <f>+'Tab-14 CurrentData'!O31</f>
        <v>1343389.9500000002</v>
      </c>
      <c r="D31" s="951">
        <f>+'Tab-14 CurrentData'!R31*'Tab-14 CurrentData'!$O$5</f>
        <v>2170386.0997231686</v>
      </c>
      <c r="E31" s="952">
        <f>+'Tab-14 CurrentData'!P31</f>
        <v>1194721.71</v>
      </c>
      <c r="F31" s="952">
        <f t="shared" si="0"/>
        <v>-826996.14972316846</v>
      </c>
      <c r="G31" s="907" t="str">
        <f>IF(F31&gt;=0,"over","under")</f>
        <v>under</v>
      </c>
      <c r="H31" s="952">
        <f t="shared" si="1"/>
        <v>148668.24000000022</v>
      </c>
      <c r="I31" s="907" t="str">
        <f>IF(H31&gt;=0,"more","less")</f>
        <v>more</v>
      </c>
      <c r="J31" s="953"/>
      <c r="K31" s="954">
        <f>+Total_revenue.cya/Net_revenue.cya</f>
        <v>1.4771985051747694</v>
      </c>
      <c r="L31" s="954">
        <f>+total.revenue.cyb/net.revenue.cyb</f>
        <v>1.8771009256822935</v>
      </c>
      <c r="M31" s="955">
        <f>+total.rev.lya/net.rev.lya</f>
        <v>1.6966703743644314</v>
      </c>
    </row>
    <row r="32" spans="1:13" x14ac:dyDescent="0.2">
      <c r="A32" s="950" t="s">
        <v>89</v>
      </c>
      <c r="B32" s="914" t="s">
        <v>90</v>
      </c>
      <c r="C32" s="951">
        <f>+'Tab-14 CurrentData'!O32</f>
        <v>264643.05000000005</v>
      </c>
      <c r="D32" s="951">
        <f>+'Tab-14 CurrentData'!R32*'Tab-14 CurrentData'!$O$5</f>
        <v>557476.46694605972</v>
      </c>
      <c r="E32" s="952">
        <f>+'Tab-14 CurrentData'!P32</f>
        <v>226268.06</v>
      </c>
      <c r="F32" s="952">
        <f t="shared" si="0"/>
        <v>-292833.41694605967</v>
      </c>
      <c r="G32" s="907"/>
      <c r="H32" s="952">
        <f t="shared" si="1"/>
        <v>38374.990000000049</v>
      </c>
      <c r="I32" s="907"/>
      <c r="J32" s="953"/>
      <c r="K32" s="954">
        <f>+Less__Total_reimbursable_expense.cya/Net_revenue.cya</f>
        <v>0.29100286023793148</v>
      </c>
      <c r="L32" s="954">
        <f>+D32/net.revenue.cyb</f>
        <v>0.4821444406983697</v>
      </c>
      <c r="M32" s="955">
        <f>+E32/net.rev.lya</f>
        <v>0.32133199794863831</v>
      </c>
    </row>
    <row r="33" spans="1:13" ht="13.5" thickBot="1" x14ac:dyDescent="0.25">
      <c r="A33" s="945" t="s">
        <v>91</v>
      </c>
      <c r="B33" s="909" t="s">
        <v>92</v>
      </c>
      <c r="C33" s="911">
        <f>+'Tab-14 CurrentData'!O33</f>
        <v>528957.99</v>
      </c>
      <c r="D33" s="911">
        <f>+'Tab-14 CurrentData'!R33*'Tab-14 CurrentData'!$O$5</f>
        <v>759818.87735786731</v>
      </c>
      <c r="E33" s="956">
        <f>+'Tab-14 CurrentData'!P33</f>
        <v>639213.06000000006</v>
      </c>
      <c r="F33" s="956">
        <f t="shared" si="0"/>
        <v>-230860.88735786732</v>
      </c>
      <c r="G33" s="907"/>
      <c r="H33" s="956">
        <f t="shared" si="1"/>
        <v>-110255.07000000007</v>
      </c>
      <c r="I33" s="907"/>
      <c r="J33" s="953"/>
      <c r="K33" s="957">
        <f>+Less__Total_direct_expense__including_direct_labor.cya/Net_revenue.cya</f>
        <v>0.58164492903065901</v>
      </c>
      <c r="L33" s="957">
        <f>+D33/net.revenue.cyb</f>
        <v>0.65714423724942395</v>
      </c>
      <c r="M33" s="958">
        <f>+E33/net.rev.lya</f>
        <v>0.90777111751726169</v>
      </c>
    </row>
    <row r="34" spans="1:13" x14ac:dyDescent="0.2">
      <c r="A34" s="950" t="s">
        <v>93</v>
      </c>
      <c r="B34" s="914" t="s">
        <v>94</v>
      </c>
      <c r="C34" s="951">
        <f>+'Tab-14 CurrentData'!O34</f>
        <v>549788.91000000015</v>
      </c>
      <c r="D34" s="951">
        <f>+'Tab-14 CurrentData'!R34*'Tab-14 CurrentData'!$O$5</f>
        <v>853090.7554192415</v>
      </c>
      <c r="E34" s="951">
        <f>+'Tab-14 CurrentData'!P34</f>
        <v>329240.58999999985</v>
      </c>
      <c r="F34" s="951">
        <f t="shared" si="0"/>
        <v>-303301.84541924135</v>
      </c>
      <c r="G34" s="907"/>
      <c r="H34" s="951">
        <f t="shared" si="1"/>
        <v>220548.3200000003</v>
      </c>
      <c r="I34" s="907"/>
      <c r="J34" s="912"/>
      <c r="K34" s="954">
        <f>+C34/Net_revenue.cya</f>
        <v>0.60455071590617893</v>
      </c>
      <c r="L34" s="954">
        <f>+D34/net.revenue.cyb</f>
        <v>0.73781224773449972</v>
      </c>
      <c r="M34" s="955">
        <f>+E34/net.rev.lya</f>
        <v>0.46756725889853129</v>
      </c>
    </row>
    <row r="35" spans="1:13" ht="13.5" thickBot="1" x14ac:dyDescent="0.25">
      <c r="A35" s="945" t="s">
        <v>95</v>
      </c>
      <c r="B35" s="909" t="s">
        <v>96</v>
      </c>
      <c r="C35" s="911">
        <f>+'Tab-14 CurrentData'!O35</f>
        <v>359628.44</v>
      </c>
      <c r="D35" s="911">
        <f>+'Tab-14 CurrentData'!R35*'Tab-14 CurrentData'!$O$5</f>
        <v>303152.93400000001</v>
      </c>
      <c r="E35" s="956">
        <f>+'Tab-14 CurrentData'!P35</f>
        <v>374916.05</v>
      </c>
      <c r="F35" s="956">
        <f t="shared" si="0"/>
        <v>56475.505999999994</v>
      </c>
      <c r="G35" s="907" t="str">
        <f>IF(F35&gt;=0,"over","under")</f>
        <v>over</v>
      </c>
      <c r="H35" s="956">
        <f>+C35-E35</f>
        <v>-15287.609999999986</v>
      </c>
      <c r="I35" s="907" t="str">
        <f>IF(H35&gt;=0,"more","less")</f>
        <v>less</v>
      </c>
      <c r="J35" s="953"/>
      <c r="K35" s="957">
        <f>+Plus__Direct_labor.cya/Net_revenue.cya</f>
        <v>0.39544928409382113</v>
      </c>
      <c r="L35" s="957">
        <f>+direct.labor.cyb/net.revenue.cyb</f>
        <v>0.26218775226550012</v>
      </c>
      <c r="M35" s="958">
        <f>+direct.labor.lya/net.rev.lya</f>
        <v>0.53243274110146865</v>
      </c>
    </row>
    <row r="36" spans="1:13" ht="13.5" thickBot="1" x14ac:dyDescent="0.25">
      <c r="A36" s="959" t="s">
        <v>97</v>
      </c>
      <c r="B36" s="960" t="s">
        <v>31</v>
      </c>
      <c r="C36" s="911">
        <f>+'Tab-14 CurrentData'!O36</f>
        <v>909417.35000000009</v>
      </c>
      <c r="D36" s="911">
        <f>+'Tab-14 CurrentData'!R36*'Tab-14 CurrentData'!$O$5</f>
        <v>1156243.6894192416</v>
      </c>
      <c r="E36" s="911">
        <f>+'Tab-14 CurrentData'!P36</f>
        <v>704156.6399999999</v>
      </c>
      <c r="F36" s="911">
        <f t="shared" si="0"/>
        <v>-246826.33941924153</v>
      </c>
      <c r="G36" s="907" t="str">
        <f>IF(F36&gt;=0,"over","under")</f>
        <v>under</v>
      </c>
      <c r="H36" s="911">
        <f t="shared" si="1"/>
        <v>205260.7100000002</v>
      </c>
      <c r="I36" s="907" t="str">
        <f>IF(H36&gt;=0,"more","less")</f>
        <v>more</v>
      </c>
      <c r="J36" s="912"/>
      <c r="K36" s="961">
        <f>+Net_revenue.cya/Net_revenue.cya</f>
        <v>1</v>
      </c>
      <c r="L36" s="961">
        <f>+net.revenue.cyb/net.revenue.cyb</f>
        <v>1</v>
      </c>
      <c r="M36" s="962">
        <f>+net.rev.lya/net.rev.lya</f>
        <v>1</v>
      </c>
    </row>
    <row r="37" spans="1:13" x14ac:dyDescent="0.2">
      <c r="A37" s="963" t="s">
        <v>98</v>
      </c>
      <c r="B37" s="964" t="s">
        <v>99</v>
      </c>
      <c r="C37" s="965">
        <f>+'Tab-14 CurrentData'!O37</f>
        <v>160355.09</v>
      </c>
      <c r="D37" s="965">
        <f>+'Tab-14 CurrentData'!R37*'Tab-14 CurrentData'!$O$5</f>
        <v>278197.36375961534</v>
      </c>
      <c r="E37" s="965">
        <f>+'Tab-14 CurrentData'!P37</f>
        <v>219178.94</v>
      </c>
      <c r="F37" s="965">
        <f t="shared" si="0"/>
        <v>-117842.27375961535</v>
      </c>
      <c r="G37" s="907"/>
      <c r="H37" s="965">
        <f t="shared" si="1"/>
        <v>-58823.850000000006</v>
      </c>
      <c r="I37" s="907"/>
      <c r="J37" s="912"/>
      <c r="K37" s="954">
        <f>+C37/Net_revenue.cya</f>
        <v>0.17632728251775709</v>
      </c>
      <c r="L37" s="954">
        <f>+D37/net.revenue.cyb</f>
        <v>0.24060443858452399</v>
      </c>
      <c r="M37" s="955">
        <f>+E38/net.rev.lya</f>
        <v>6.0749139566446481E-2</v>
      </c>
    </row>
    <row r="38" spans="1:13" ht="13.5" thickBot="1" x14ac:dyDescent="0.25">
      <c r="A38" s="959" t="s">
        <v>100</v>
      </c>
      <c r="B38" s="960" t="s">
        <v>101</v>
      </c>
      <c r="C38" s="911">
        <f>+'Tab-14 CurrentData'!O38</f>
        <v>32360.57</v>
      </c>
      <c r="D38" s="911">
        <f>+'Tab-14 CurrentData'!R38*'Tab-14 CurrentData'!$O$5</f>
        <v>42119.723769230768</v>
      </c>
      <c r="E38" s="911">
        <f>+'Tab-14 CurrentData'!P38</f>
        <v>42776.91</v>
      </c>
      <c r="F38" s="911">
        <f t="shared" si="0"/>
        <v>-9759.1537692307684</v>
      </c>
      <c r="G38" s="907"/>
      <c r="H38" s="911">
        <f t="shared" si="1"/>
        <v>-10416.340000000004</v>
      </c>
      <c r="I38" s="907"/>
      <c r="J38" s="912"/>
      <c r="K38" s="957">
        <f>+C38/Net_revenue.cya</f>
        <v>3.5583849373447732E-2</v>
      </c>
      <c r="L38" s="957">
        <f>+D38/net.revenue.cyb</f>
        <v>3.6428068022915372E-2</v>
      </c>
      <c r="M38" s="958">
        <f>+E38/net.rev.lya</f>
        <v>6.0749139566446481E-2</v>
      </c>
    </row>
    <row r="39" spans="1:13" x14ac:dyDescent="0.2">
      <c r="A39" s="963" t="s">
        <v>102</v>
      </c>
      <c r="B39" s="964" t="s">
        <v>103</v>
      </c>
      <c r="C39" s="965">
        <f>+'Tab-14 CurrentData'!O39</f>
        <v>192715.66</v>
      </c>
      <c r="D39" s="965">
        <f>+'Tab-14 CurrentData'!R39*'Tab-14 CurrentData'!$O$5</f>
        <v>320317.08752884611</v>
      </c>
      <c r="E39" s="965">
        <f>+'Tab-14 CurrentData'!P39</f>
        <v>261955.85</v>
      </c>
      <c r="F39" s="965">
        <f t="shared" si="0"/>
        <v>-127601.42752884611</v>
      </c>
      <c r="G39" s="907" t="str">
        <f>IF(F39&gt;=0,"over","under")</f>
        <v>under</v>
      </c>
      <c r="H39" s="965">
        <f t="shared" si="1"/>
        <v>-69240.19</v>
      </c>
      <c r="I39" s="907" t="str">
        <f>IF(H39&gt;=0,"more","less")</f>
        <v>less</v>
      </c>
      <c r="J39" s="912"/>
      <c r="K39" s="954">
        <f>+Subtotal_Indirect_Labor.cya/Net_revenue.cya</f>
        <v>0.21191113189120483</v>
      </c>
      <c r="L39" s="954">
        <f>+indirect.labor.cyb/net.revenue.cyb</f>
        <v>0.27703250660743933</v>
      </c>
      <c r="M39" s="955">
        <f>+indirect.labor.lya/net.rev.lya</f>
        <v>0.37201360481383805</v>
      </c>
    </row>
    <row r="40" spans="1:13" ht="13.5" thickBot="1" x14ac:dyDescent="0.25">
      <c r="A40" s="959" t="s">
        <v>104</v>
      </c>
      <c r="B40" s="960" t="s">
        <v>54</v>
      </c>
      <c r="C40" s="911">
        <f>+'Tab-14 CurrentData'!O40</f>
        <v>332764.40000000002</v>
      </c>
      <c r="D40" s="911">
        <f>+'Tab-14 CurrentData'!R40*'Tab-14 CurrentData'!$O$5</f>
        <v>346501.05298341252</v>
      </c>
      <c r="E40" s="911">
        <f>+'Tab-14 CurrentData'!P40</f>
        <v>426584</v>
      </c>
      <c r="F40" s="911">
        <f t="shared" si="0"/>
        <v>-13736.652983412496</v>
      </c>
      <c r="G40" s="907"/>
      <c r="H40" s="911">
        <f t="shared" si="1"/>
        <v>-93819.599999999977</v>
      </c>
      <c r="I40" s="907"/>
      <c r="J40" s="912"/>
      <c r="K40" s="957">
        <f>+C40/Net_revenue.cya</f>
        <v>0.36590944740607817</v>
      </c>
      <c r="L40" s="957">
        <f>+D40/net.revenue.cyb</f>
        <v>0.29967822194770477</v>
      </c>
      <c r="M40" s="958">
        <f>+E40/net.rev.lya</f>
        <v>0.60580838945152893</v>
      </c>
    </row>
    <row r="41" spans="1:13" x14ac:dyDescent="0.2">
      <c r="A41" s="966" t="s">
        <v>105</v>
      </c>
      <c r="B41" s="967" t="s">
        <v>106</v>
      </c>
      <c r="C41" s="951">
        <f>+'Tab-14 CurrentData'!O41</f>
        <v>525480.05999999994</v>
      </c>
      <c r="D41" s="951">
        <f>+'Tab-14 CurrentData'!R41*'Tab-14 CurrentData'!$O$5</f>
        <v>666818.14051225863</v>
      </c>
      <c r="E41" s="951">
        <f>+'Tab-14 CurrentData'!P41</f>
        <v>671979.77</v>
      </c>
      <c r="F41" s="951">
        <f t="shared" si="0"/>
        <v>-141338.08051225869</v>
      </c>
      <c r="G41" s="907" t="str">
        <f>IF(F41&gt;=0,"over","under")</f>
        <v>under</v>
      </c>
      <c r="H41" s="951">
        <f t="shared" si="1"/>
        <v>-146499.71000000008</v>
      </c>
      <c r="I41" s="907" t="str">
        <f>IF(H41&gt;=0,"more","less")</f>
        <v>less</v>
      </c>
      <c r="J41" s="912"/>
      <c r="K41" s="954">
        <f>+Total_Overhead_expense.cya/Net_revenue.cya</f>
        <v>0.57782057929728292</v>
      </c>
      <c r="L41" s="954">
        <f>+overhead.cyb/net.revenue.cyb</f>
        <v>0.57671072855514416</v>
      </c>
      <c r="M41" s="955">
        <f>+overhead.lya/net.rev.lya</f>
        <v>0.95430438602410983</v>
      </c>
    </row>
    <row r="42" spans="1:13" ht="13.5" thickBot="1" x14ac:dyDescent="0.25">
      <c r="A42" s="959" t="s">
        <v>107</v>
      </c>
      <c r="B42" s="960" t="s">
        <v>143</v>
      </c>
      <c r="C42" s="911">
        <f>+'Tab-14 CurrentData'!O42</f>
        <v>885108.5</v>
      </c>
      <c r="D42" s="911">
        <f>+'Tab-14 CurrentData'!R42*'Tab-14 CurrentData'!$O$5</f>
        <v>969971.07451225864</v>
      </c>
      <c r="E42" s="911">
        <f>+'Tab-14 CurrentData'!P42</f>
        <v>1046895.8200000001</v>
      </c>
      <c r="F42" s="911">
        <f t="shared" si="0"/>
        <v>-84862.574512258638</v>
      </c>
      <c r="G42" s="907" t="str">
        <f>IF(F42&gt;=0,"over","under")</f>
        <v>under</v>
      </c>
      <c r="H42" s="911">
        <f t="shared" si="1"/>
        <v>-161787.32000000007</v>
      </c>
      <c r="I42" s="907" t="str">
        <f>IF(H42&gt;=0,"more","less")</f>
        <v>less</v>
      </c>
      <c r="J42" s="912"/>
      <c r="K42" s="957">
        <f>+Break_even_cya/Net_revenue.cya</f>
        <v>0.97326986339110411</v>
      </c>
      <c r="L42" s="957">
        <f>+breakeven.cyb/net.revenue.cyb</f>
        <v>0.83889848082064422</v>
      </c>
      <c r="M42" s="958">
        <f>+breakeven.lya/net.rev.lya</f>
        <v>1.4867371271255785</v>
      </c>
    </row>
    <row r="43" spans="1:13" ht="13.5" thickBot="1" x14ac:dyDescent="0.25">
      <c r="A43" s="968" t="s">
        <v>108</v>
      </c>
      <c r="B43" s="969" t="s">
        <v>35</v>
      </c>
      <c r="C43" s="970">
        <f>+'Tab-14 CurrentData'!O43</f>
        <v>24308.850000000006</v>
      </c>
      <c r="D43" s="970">
        <f>+'Tab-14 CurrentData'!R43*'Tab-14 CurrentData'!$O$5</f>
        <v>186272.61490698281</v>
      </c>
      <c r="E43" s="970">
        <f>+'Tab-14 CurrentData'!P43</f>
        <v>-342739.18000000017</v>
      </c>
      <c r="F43" s="970">
        <f t="shared" si="0"/>
        <v>-161963.7649069828</v>
      </c>
      <c r="G43" s="907" t="str">
        <f>IF(F43&gt;=0,"over","under")</f>
        <v>under</v>
      </c>
      <c r="H43" s="970">
        <f t="shared" si="1"/>
        <v>367048.03000000014</v>
      </c>
      <c r="I43" s="907" t="str">
        <f>IF(H43&gt;=0,"more","less")</f>
        <v>more</v>
      </c>
      <c r="J43" s="912"/>
      <c r="K43" s="971">
        <f>+Operating_profit_cya/Net_revenue.cya</f>
        <v>2.67301366088958E-2</v>
      </c>
      <c r="L43" s="971">
        <f>+profit.cyb/net.revenue.cyb</f>
        <v>0.16110151917935558</v>
      </c>
      <c r="M43" s="972">
        <f>+profit.lya/net.rev.lya</f>
        <v>-0.48673712712557848</v>
      </c>
    </row>
    <row r="44" spans="1:13" ht="14.25" thickTop="1" thickBot="1" x14ac:dyDescent="0.25">
      <c r="A44" s="973"/>
      <c r="B44" s="974" t="s">
        <v>109</v>
      </c>
      <c r="C44" s="975">
        <f>+'Tab-14 CurrentData'!O44</f>
        <v>2.67301366088958E-2</v>
      </c>
      <c r="D44" s="975">
        <f>+D43/D36</f>
        <v>0.16110151917935558</v>
      </c>
      <c r="E44" s="975">
        <f>+'Tab-14 CurrentData'!P44</f>
        <v>-0.48673712712557848</v>
      </c>
      <c r="F44" s="975">
        <f t="shared" si="0"/>
        <v>-0.13437138257045977</v>
      </c>
      <c r="G44" s="907" t="str">
        <f>IF(F44&gt;=0,"over","under")</f>
        <v>under</v>
      </c>
      <c r="H44" s="975">
        <f t="shared" si="1"/>
        <v>0.51346726373447427</v>
      </c>
      <c r="I44" s="975">
        <f>+D44-F44</f>
        <v>0.29547290174981533</v>
      </c>
      <c r="J44" s="975"/>
      <c r="K44" s="976"/>
      <c r="L44" s="976"/>
      <c r="M44" s="977"/>
    </row>
    <row r="45" spans="1:13" ht="13.5" thickTop="1" x14ac:dyDescent="0.2">
      <c r="A45" s="943"/>
      <c r="B45" s="914"/>
      <c r="C45" s="944"/>
      <c r="D45" s="944"/>
      <c r="E45" s="944"/>
      <c r="F45" s="930"/>
      <c r="G45" s="907"/>
      <c r="H45" s="928"/>
      <c r="I45" s="907"/>
    </row>
    <row r="46" spans="1:13" x14ac:dyDescent="0.2">
      <c r="A46" s="943"/>
      <c r="B46" s="914"/>
      <c r="C46" s="944"/>
      <c r="D46" s="944"/>
      <c r="E46" s="944"/>
      <c r="F46" s="930"/>
      <c r="G46" s="907"/>
      <c r="H46" s="928"/>
      <c r="I46" s="907"/>
    </row>
    <row r="47" spans="1:13" ht="13.5" thickBot="1" x14ac:dyDescent="0.25">
      <c r="A47" s="899"/>
      <c r="B47" s="900" t="s">
        <v>2</v>
      </c>
      <c r="C47" s="978"/>
      <c r="D47" s="978"/>
      <c r="E47" s="978"/>
      <c r="F47" s="946"/>
      <c r="G47" s="907"/>
      <c r="H47" s="946"/>
      <c r="I47" s="907"/>
    </row>
    <row r="48" spans="1:13" ht="13.5" thickBot="1" x14ac:dyDescent="0.25">
      <c r="A48" s="979"/>
      <c r="B48" s="960" t="s">
        <v>3</v>
      </c>
      <c r="C48" s="911">
        <f>+'Tab-14 CurrentData'!O48</f>
        <v>-24206.68</v>
      </c>
      <c r="D48" s="911"/>
      <c r="E48" s="980">
        <f>+'Tab-14 CurrentData'!P48</f>
        <v>-30112.28</v>
      </c>
      <c r="F48" s="946"/>
      <c r="G48" s="907"/>
      <c r="H48" s="956">
        <f t="shared" ref="H48:H55" si="2">C48-E48</f>
        <v>5905.5999999999985</v>
      </c>
      <c r="I48" s="907" t="str">
        <f>IF(H48&gt;=0,"more","less")</f>
        <v>more</v>
      </c>
    </row>
    <row r="49" spans="1:9" ht="13.5" thickBot="1" x14ac:dyDescent="0.25">
      <c r="A49" s="979"/>
      <c r="B49" s="960" t="s">
        <v>4</v>
      </c>
      <c r="C49" s="911">
        <f>+'Tab-14 CurrentData'!O49</f>
        <v>176131.51</v>
      </c>
      <c r="D49" s="981">
        <f>SUM(D50:D55)</f>
        <v>1</v>
      </c>
      <c r="E49" s="911">
        <f>+'Tab-14 CurrentData'!P49</f>
        <v>397002.55</v>
      </c>
      <c r="F49" s="981">
        <f>SUM(F50:F55)</f>
        <v>1</v>
      </c>
      <c r="G49" s="907"/>
      <c r="H49" s="956">
        <f t="shared" si="2"/>
        <v>-220871.03999999998</v>
      </c>
      <c r="I49" s="907" t="str">
        <f>IF(H49&gt;=0,"more","less")</f>
        <v>less</v>
      </c>
    </row>
    <row r="50" spans="1:9" x14ac:dyDescent="0.2">
      <c r="A50" s="982"/>
      <c r="B50" s="964" t="s">
        <v>9</v>
      </c>
      <c r="C50" s="951">
        <f>+'Tab-14 CurrentData'!O50</f>
        <v>720</v>
      </c>
      <c r="D50" s="983">
        <f>+C50/Accounts_receivable.cya</f>
        <v>4.087854580932168E-3</v>
      </c>
      <c r="E50" s="984">
        <f>+'Tab-14 CurrentData'!P50</f>
        <v>1245</v>
      </c>
      <c r="F50" s="985">
        <f t="shared" ref="F50:F55" si="3">E50/$E$49</f>
        <v>3.1360000080604016E-3</v>
      </c>
      <c r="G50" s="907"/>
      <c r="H50" s="952">
        <f t="shared" si="2"/>
        <v>-525</v>
      </c>
      <c r="I50" s="907"/>
    </row>
    <row r="51" spans="1:9" x14ac:dyDescent="0.2">
      <c r="A51" s="982"/>
      <c r="B51" s="964" t="s">
        <v>6</v>
      </c>
      <c r="C51" s="951">
        <f>+'Tab-14 CurrentData'!O51</f>
        <v>1851.97</v>
      </c>
      <c r="D51" s="983">
        <f>+C51/Accounts_receivable.cya</f>
        <v>1.0514700067012427E-2</v>
      </c>
      <c r="E51" s="984">
        <f>+'Tab-14 CurrentData'!P51</f>
        <v>2329.91</v>
      </c>
      <c r="F51" s="985">
        <f t="shared" si="3"/>
        <v>5.8687532359678798E-3</v>
      </c>
      <c r="G51" s="907"/>
      <c r="H51" s="952">
        <f t="shared" si="2"/>
        <v>-477.93999999999983</v>
      </c>
      <c r="I51" s="907"/>
    </row>
    <row r="52" spans="1:9" x14ac:dyDescent="0.2">
      <c r="A52" s="982"/>
      <c r="B52" s="964" t="s">
        <v>5</v>
      </c>
      <c r="C52" s="951">
        <f>+'Tab-14 CurrentData'!O52</f>
        <v>91119.71</v>
      </c>
      <c r="D52" s="983">
        <f>+C52/Accounts_receivable.cya</f>
        <v>0.51733906102320937</v>
      </c>
      <c r="E52" s="984">
        <f>+'Tab-14 CurrentData'!P52</f>
        <v>389296.49</v>
      </c>
      <c r="F52" s="985">
        <f t="shared" si="3"/>
        <v>0.98058939419910529</v>
      </c>
      <c r="G52" s="907"/>
      <c r="H52" s="952">
        <f t="shared" si="2"/>
        <v>-298176.77999999997</v>
      </c>
      <c r="I52" s="907"/>
    </row>
    <row r="53" spans="1:9" x14ac:dyDescent="0.2">
      <c r="A53" s="982"/>
      <c r="B53" s="964" t="s">
        <v>7</v>
      </c>
      <c r="C53" s="951">
        <f>+'Tab-14 CurrentData'!O53</f>
        <v>25869.13</v>
      </c>
      <c r="D53" s="983">
        <f>+C53/Accounts_receivable.cya</f>
        <v>0.14687394663226358</v>
      </c>
      <c r="E53" s="984">
        <f>+'Tab-14 CurrentData'!P53</f>
        <v>9234.61</v>
      </c>
      <c r="F53" s="985">
        <f t="shared" si="3"/>
        <v>2.3260832959385275E-2</v>
      </c>
      <c r="G53" s="907"/>
      <c r="H53" s="952">
        <f t="shared" si="2"/>
        <v>16634.52</v>
      </c>
      <c r="I53" s="907"/>
    </row>
    <row r="54" spans="1:9" x14ac:dyDescent="0.2">
      <c r="A54" s="982"/>
      <c r="B54" s="964" t="s">
        <v>8</v>
      </c>
      <c r="C54" s="951">
        <f>+'Tab-14 CurrentData'!O54</f>
        <v>45339.98</v>
      </c>
      <c r="D54" s="983">
        <f>+C54/Accounts_receivable.cya</f>
        <v>0.25742117353107347</v>
      </c>
      <c r="E54" s="984">
        <f>+'Tab-14 CurrentData'!P54</f>
        <v>6037.4</v>
      </c>
      <c r="F54" s="985">
        <f t="shared" si="3"/>
        <v>1.5207458994910737E-2</v>
      </c>
      <c r="G54" s="907"/>
      <c r="H54" s="952">
        <f t="shared" si="2"/>
        <v>39302.58</v>
      </c>
      <c r="I54" s="907"/>
    </row>
    <row r="55" spans="1:9" ht="13.5" thickBot="1" x14ac:dyDescent="0.25">
      <c r="A55" s="923"/>
      <c r="B55" s="986" t="s">
        <v>113</v>
      </c>
      <c r="C55" s="921">
        <f>+'Tab-14 CurrentData'!O55</f>
        <v>11230.720000000001</v>
      </c>
      <c r="D55" s="987">
        <f>+dollars.over.90.cya/Accounts_receivable.cya</f>
        <v>6.3763264165509065E-2</v>
      </c>
      <c r="E55" s="988">
        <f>+'Tab-14 CurrentData'!P55</f>
        <v>-11140.86</v>
      </c>
      <c r="F55" s="989">
        <f t="shared" si="3"/>
        <v>-2.8062439397429566E-2</v>
      </c>
      <c r="G55" s="907"/>
      <c r="H55" s="990">
        <f t="shared" si="2"/>
        <v>22371.58</v>
      </c>
      <c r="I55" s="907"/>
    </row>
    <row r="56" spans="1:9" ht="13.5" thickTop="1" x14ac:dyDescent="0.2">
      <c r="A56" s="943"/>
      <c r="B56" s="914"/>
      <c r="C56" s="944"/>
      <c r="D56" s="944"/>
      <c r="E56" s="944"/>
      <c r="F56" s="930"/>
      <c r="G56" s="907"/>
      <c r="H56" s="928"/>
      <c r="I56" s="907"/>
    </row>
    <row r="57" spans="1:9" x14ac:dyDescent="0.2">
      <c r="A57" s="943"/>
      <c r="B57" s="914"/>
      <c r="C57" s="944"/>
      <c r="D57" s="944"/>
      <c r="E57" s="944"/>
      <c r="F57" s="930"/>
      <c r="G57" s="907"/>
      <c r="H57" s="928"/>
      <c r="I57" s="907"/>
    </row>
    <row r="58" spans="1:9" ht="13.5" thickBot="1" x14ac:dyDescent="0.25">
      <c r="A58" s="931"/>
      <c r="B58" s="900" t="s">
        <v>13</v>
      </c>
      <c r="C58" s="978"/>
      <c r="D58" s="978"/>
      <c r="E58" s="978"/>
      <c r="F58" s="933"/>
      <c r="G58" s="907"/>
      <c r="H58" s="934"/>
      <c r="I58" s="907"/>
    </row>
    <row r="59" spans="1:9" x14ac:dyDescent="0.2">
      <c r="A59" s="991"/>
      <c r="B59" s="992" t="s">
        <v>11</v>
      </c>
      <c r="C59" s="993">
        <f>+'Tab-14 CurrentData'!O61</f>
        <v>1.2272267206477732E-2</v>
      </c>
      <c r="D59" s="993">
        <f>+D23/(D12-D23)</f>
        <v>0</v>
      </c>
      <c r="E59" s="993">
        <f>+E23/(E12-E23)</f>
        <v>1.0880566801619434E-2</v>
      </c>
      <c r="F59" s="983">
        <f>C59-D59</f>
        <v>1.2272267206477732E-2</v>
      </c>
      <c r="G59" s="907" t="str">
        <f>IF(F59&gt;=0,"over","under")</f>
        <v>over</v>
      </c>
      <c r="H59" s="983">
        <f>C59-E59</f>
        <v>1.3917004048582989E-3</v>
      </c>
      <c r="I59" s="907" t="str">
        <f>IF(H59&gt;=0,"more","less")</f>
        <v>more</v>
      </c>
    </row>
    <row r="60" spans="1:9" ht="13.5" thickBot="1" x14ac:dyDescent="0.25">
      <c r="A60" s="994"/>
      <c r="B60" s="995" t="s">
        <v>14</v>
      </c>
      <c r="C60" s="996">
        <f>+'Tab-14 CurrentData'!O62</f>
        <v>0</v>
      </c>
      <c r="D60" s="996">
        <f>+D24/(D15-D24)</f>
        <v>0</v>
      </c>
      <c r="E60" s="996">
        <f>E24/(E15-E24)</f>
        <v>0</v>
      </c>
      <c r="F60" s="996">
        <f>C60-D60</f>
        <v>0</v>
      </c>
      <c r="G60" s="907" t="str">
        <f>IF(F60&gt;=0,"over","under")</f>
        <v>over</v>
      </c>
      <c r="H60" s="996">
        <f>C60-E60</f>
        <v>0</v>
      </c>
      <c r="I60" s="907" t="str">
        <f>IF(H60&gt;=0,"more","less")</f>
        <v>more</v>
      </c>
    </row>
    <row r="61" spans="1:9" ht="13.5" thickBot="1" x14ac:dyDescent="0.25">
      <c r="A61" s="997"/>
      <c r="B61" s="998" t="s">
        <v>15</v>
      </c>
      <c r="C61" s="987">
        <f>+'Tab-14 CurrentData'!O63</f>
        <v>9.7861178369652944E-3</v>
      </c>
      <c r="D61" s="987">
        <f>+D25/(D17-D25)</f>
        <v>0</v>
      </c>
      <c r="E61" s="987">
        <f>+E25/(E17-E25)</f>
        <v>8.6763518966908801E-3</v>
      </c>
      <c r="F61" s="987">
        <f>C61-D61</f>
        <v>9.7861178369652944E-3</v>
      </c>
      <c r="G61" s="907" t="str">
        <f>IF(F61&gt;=0,"over","under")</f>
        <v>over</v>
      </c>
      <c r="H61" s="987">
        <f>C61-E61</f>
        <v>1.1097659402744143E-3</v>
      </c>
      <c r="I61" s="907" t="str">
        <f>IF(H61&gt;=0,"more","less")</f>
        <v>more</v>
      </c>
    </row>
    <row r="62" spans="1:9" ht="13.5" thickTop="1" x14ac:dyDescent="0.2">
      <c r="A62" s="943"/>
      <c r="B62" s="914"/>
      <c r="C62" s="944"/>
      <c r="D62" s="944"/>
      <c r="E62" s="944"/>
      <c r="F62" s="999"/>
      <c r="G62" s="907"/>
      <c r="H62" s="999"/>
      <c r="I62" s="907"/>
    </row>
    <row r="63" spans="1:9" x14ac:dyDescent="0.2">
      <c r="A63" s="943"/>
      <c r="B63" s="1000"/>
      <c r="C63" s="944"/>
      <c r="D63" s="944"/>
      <c r="E63" s="944"/>
      <c r="F63" s="999"/>
      <c r="G63" s="907"/>
      <c r="H63" s="999"/>
      <c r="I63" s="907"/>
    </row>
    <row r="64" spans="1:9" ht="13.5" thickBot="1" x14ac:dyDescent="0.25">
      <c r="A64" s="899"/>
      <c r="B64" s="900" t="s">
        <v>16</v>
      </c>
      <c r="C64" s="946"/>
      <c r="D64" s="946"/>
      <c r="E64" s="946"/>
      <c r="F64" s="1001"/>
      <c r="G64" s="907"/>
      <c r="H64" s="1001"/>
      <c r="I64" s="907"/>
    </row>
    <row r="65" spans="1:9" x14ac:dyDescent="0.2">
      <c r="A65" s="927"/>
      <c r="B65" s="914" t="s">
        <v>114</v>
      </c>
      <c r="C65" s="1002">
        <f>+'Tab-14 CurrentData'!O67</f>
        <v>15.200000000000001</v>
      </c>
      <c r="D65" s="1002">
        <f>+D12/D19</f>
        <v>14.488549618320612</v>
      </c>
      <c r="E65" s="1002">
        <f>+E67-E66</f>
        <v>15.2</v>
      </c>
      <c r="F65" s="1003">
        <f t="shared" ref="F65:F70" si="4">C65-D65</f>
        <v>0.71145038167938957</v>
      </c>
      <c r="G65" s="907"/>
      <c r="H65" s="1003">
        <f t="shared" ref="H65:H71" si="5">C65-E65</f>
        <v>0</v>
      </c>
      <c r="I65" s="907"/>
    </row>
    <row r="66" spans="1:9" ht="13.5" thickBot="1" x14ac:dyDescent="0.25">
      <c r="A66" s="899"/>
      <c r="B66" s="909" t="s">
        <v>115</v>
      </c>
      <c r="C66" s="1004">
        <f>+'Tab-14 CurrentData'!O68</f>
        <v>0.18653846153846154</v>
      </c>
      <c r="D66" s="1004">
        <f>+D23/D19</f>
        <v>0</v>
      </c>
      <c r="E66" s="1004">
        <f>+E23/E19</f>
        <v>0.16538461538461538</v>
      </c>
      <c r="F66" s="1005">
        <f t="shared" si="4"/>
        <v>0.18653846153846154</v>
      </c>
      <c r="G66" s="907"/>
      <c r="H66" s="1005">
        <f t="shared" si="5"/>
        <v>2.1153846153846162E-2</v>
      </c>
      <c r="I66" s="907"/>
    </row>
    <row r="67" spans="1:9" ht="13.5" thickBot="1" x14ac:dyDescent="0.25">
      <c r="A67" s="899"/>
      <c r="B67" s="938" t="s">
        <v>116</v>
      </c>
      <c r="C67" s="1004">
        <f>+'Tab-14 CurrentData'!O69</f>
        <v>15.386538461538462</v>
      </c>
      <c r="D67" s="1004">
        <f>+D12/D19</f>
        <v>14.488549618320612</v>
      </c>
      <c r="E67" s="1004">
        <f>+E12/E19</f>
        <v>15.365384615384615</v>
      </c>
      <c r="F67" s="1005">
        <f>C67-D67</f>
        <v>0.89798884321785089</v>
      </c>
      <c r="G67" s="907" t="str">
        <f>IF(F67&gt;=0,"over","under")</f>
        <v>over</v>
      </c>
      <c r="H67" s="1005">
        <f t="shared" si="5"/>
        <v>2.1153846153847411E-2</v>
      </c>
      <c r="I67" s="907" t="str">
        <f>IF(H67&gt;=0,"more","less")</f>
        <v>more</v>
      </c>
    </row>
    <row r="68" spans="1:9" x14ac:dyDescent="0.2">
      <c r="B68" s="1006" t="s">
        <v>117</v>
      </c>
      <c r="C68" s="1007">
        <f>+'Tab-14 CurrentData'!O70</f>
        <v>3.8615384615384616</v>
      </c>
      <c r="D68" s="1007">
        <f>+D70-D69</f>
        <v>4.1450381679389317</v>
      </c>
      <c r="E68" s="1007">
        <f>+E70-E69</f>
        <v>3.8615384615384616</v>
      </c>
      <c r="F68" s="1003">
        <f t="shared" si="4"/>
        <v>-0.28349970640047006</v>
      </c>
      <c r="G68" s="907"/>
      <c r="H68" s="1003">
        <f t="shared" si="5"/>
        <v>0</v>
      </c>
      <c r="I68" s="907"/>
    </row>
    <row r="69" spans="1:9" ht="13.5" thickBot="1" x14ac:dyDescent="0.25">
      <c r="A69" s="899"/>
      <c r="B69" s="938" t="s">
        <v>118</v>
      </c>
      <c r="C69" s="1004">
        <f>+'Tab-14 CurrentData'!O71</f>
        <v>0</v>
      </c>
      <c r="D69" s="1004">
        <f>+D24/D19</f>
        <v>0</v>
      </c>
      <c r="E69" s="1004">
        <f>+E24/E19</f>
        <v>0</v>
      </c>
      <c r="F69" s="1005">
        <f t="shared" si="4"/>
        <v>0</v>
      </c>
      <c r="G69" s="907"/>
      <c r="H69" s="1005">
        <f t="shared" si="5"/>
        <v>0</v>
      </c>
      <c r="I69" s="907"/>
    </row>
    <row r="70" spans="1:9" ht="13.5" thickBot="1" x14ac:dyDescent="0.25">
      <c r="A70" s="899"/>
      <c r="B70" s="938" t="s">
        <v>119</v>
      </c>
      <c r="C70" s="1004">
        <f>+'Tab-14 CurrentData'!O72</f>
        <v>3.8615384615384616</v>
      </c>
      <c r="D70" s="1004">
        <f>+D15/D19</f>
        <v>4.1450381679389317</v>
      </c>
      <c r="E70" s="1004">
        <f>+E15/E19</f>
        <v>3.8615384615384616</v>
      </c>
      <c r="F70" s="1005">
        <f t="shared" si="4"/>
        <v>-0.28349970640047006</v>
      </c>
      <c r="G70" s="907" t="str">
        <f>IF(F70&gt;=0,"over","under")</f>
        <v>under</v>
      </c>
      <c r="H70" s="1005">
        <f t="shared" si="5"/>
        <v>0</v>
      </c>
      <c r="I70" s="907" t="str">
        <f>IF(H70&gt;=0,"more","less")</f>
        <v>more</v>
      </c>
    </row>
    <row r="71" spans="1:9" ht="13.5" thickBot="1" x14ac:dyDescent="0.25">
      <c r="A71" s="1008"/>
      <c r="B71" s="941" t="s">
        <v>19</v>
      </c>
      <c r="C71" s="1009">
        <f>+'Tab-14 CurrentData'!O73</f>
        <v>19.248076923076923</v>
      </c>
      <c r="D71" s="1009">
        <f>+D67+D70</f>
        <v>18.633587786259543</v>
      </c>
      <c r="E71" s="1009">
        <f>+E67+E70</f>
        <v>19.226923076923075</v>
      </c>
      <c r="F71" s="1010">
        <f>C71-D71</f>
        <v>0.61448913681737949</v>
      </c>
      <c r="G71" s="907" t="str">
        <f>IF(F71&gt;=0,"over","under")</f>
        <v>over</v>
      </c>
      <c r="H71" s="1010">
        <f t="shared" si="5"/>
        <v>2.1153846153847411E-2</v>
      </c>
      <c r="I71" s="907" t="str">
        <f>IF(H71&gt;=0,"more","less")</f>
        <v>more</v>
      </c>
    </row>
    <row r="72" spans="1:9" ht="13.5" thickTop="1" x14ac:dyDescent="0.2">
      <c r="A72" s="927"/>
      <c r="B72" s="936"/>
      <c r="C72" s="1011"/>
      <c r="D72" s="1011"/>
      <c r="E72" s="1011"/>
      <c r="F72" s="1003"/>
      <c r="G72" s="907"/>
      <c r="H72" s="1003"/>
      <c r="I72" s="907"/>
    </row>
    <row r="73" spans="1:9" ht="13.5" thickBot="1" x14ac:dyDescent="0.25">
      <c r="A73" s="1012"/>
      <c r="B73" s="1013" t="s">
        <v>24</v>
      </c>
      <c r="C73" s="1009">
        <f>+'Tab-14 CurrentData'!O75</f>
        <v>3.9845617529880477</v>
      </c>
      <c r="D73" s="1009">
        <f>D12/D15</f>
        <v>3.4953959484346226</v>
      </c>
      <c r="E73" s="1009">
        <f>E12/E15</f>
        <v>3.9790836653386452</v>
      </c>
      <c r="F73" s="1009">
        <f>+C73-D73</f>
        <v>0.48916580455342507</v>
      </c>
      <c r="G73" s="907" t="str">
        <f>IF(F73&gt;=0,"over","under")</f>
        <v>over</v>
      </c>
      <c r="H73" s="1009">
        <f>+C73-E73</f>
        <v>5.4780876494024966E-3</v>
      </c>
      <c r="I73" s="907" t="str">
        <f>IF(H73&gt;=0,"more","less")</f>
        <v>more</v>
      </c>
    </row>
    <row r="74" spans="1:9" ht="13.5" thickTop="1" x14ac:dyDescent="0.2">
      <c r="A74" s="927"/>
      <c r="B74" s="936"/>
      <c r="C74" s="1014"/>
      <c r="D74" s="1014"/>
      <c r="E74" s="1014"/>
      <c r="F74" s="999"/>
      <c r="G74" s="907"/>
      <c r="H74" s="999"/>
      <c r="I74" s="907"/>
    </row>
    <row r="75" spans="1:9" x14ac:dyDescent="0.2">
      <c r="A75" s="927"/>
      <c r="B75" s="936"/>
      <c r="C75" s="1014"/>
      <c r="D75" s="1014"/>
      <c r="E75" s="1014"/>
      <c r="F75" s="999"/>
      <c r="G75" s="907"/>
      <c r="H75" s="999"/>
      <c r="I75" s="907"/>
    </row>
    <row r="76" spans="1:9" ht="13.5" thickBot="1" x14ac:dyDescent="0.25">
      <c r="A76" s="899"/>
      <c r="B76" s="1015" t="s">
        <v>20</v>
      </c>
      <c r="C76" s="1016"/>
      <c r="D76" s="1016"/>
      <c r="E76" s="1016"/>
      <c r="F76" s="1001"/>
      <c r="G76" s="907"/>
      <c r="H76" s="1001"/>
      <c r="I76" s="907"/>
    </row>
    <row r="77" spans="1:9" x14ac:dyDescent="0.2">
      <c r="A77" s="927"/>
      <c r="B77" s="936" t="s">
        <v>21</v>
      </c>
      <c r="C77" s="1007">
        <f>+'Tab-14 CurrentData'!O79</f>
        <v>19.061538461538461</v>
      </c>
      <c r="D77" s="1007">
        <f>+D79-D78</f>
        <v>18.633587786259543</v>
      </c>
      <c r="E77" s="1007">
        <f>+E79-E78</f>
        <v>19.061538461538461</v>
      </c>
      <c r="F77" s="1003">
        <f>C77-D77</f>
        <v>0.42795067527891817</v>
      </c>
      <c r="G77" s="907" t="str">
        <f>IF(F77&gt;=0,"over","under")</f>
        <v>over</v>
      </c>
      <c r="H77" s="1003">
        <f>C77-E77</f>
        <v>0</v>
      </c>
      <c r="I77" s="907" t="str">
        <f>IF(H77&gt;=0,"more","less")</f>
        <v>more</v>
      </c>
    </row>
    <row r="78" spans="1:9" ht="13.5" thickBot="1" x14ac:dyDescent="0.25">
      <c r="A78" s="899"/>
      <c r="B78" s="938" t="s">
        <v>22</v>
      </c>
      <c r="C78" s="1004">
        <f>+'Tab-14 CurrentData'!O80</f>
        <v>0.18653846153846154</v>
      </c>
      <c r="D78" s="1004">
        <f>+D25/D19</f>
        <v>0</v>
      </c>
      <c r="E78" s="1004">
        <f>E66+E69</f>
        <v>0.16538461538461538</v>
      </c>
      <c r="F78" s="1005">
        <f>C78-D78</f>
        <v>0.18653846153846154</v>
      </c>
      <c r="G78" s="907" t="str">
        <f>IF(F78&gt;=0,"over","under")</f>
        <v>over</v>
      </c>
      <c r="H78" s="1005">
        <f>C78-E78</f>
        <v>2.1153846153846162E-2</v>
      </c>
      <c r="I78" s="907" t="str">
        <f>IF(H78&gt;=0,"more","less")</f>
        <v>more</v>
      </c>
    </row>
    <row r="79" spans="1:9" ht="13.5" thickBot="1" x14ac:dyDescent="0.25">
      <c r="A79" s="1008"/>
      <c r="B79" s="941" t="s">
        <v>23</v>
      </c>
      <c r="C79" s="1010">
        <f>+'Tab-14 CurrentData'!O81</f>
        <v>19.248076923076923</v>
      </c>
      <c r="D79" s="1010">
        <f>+D17/D19</f>
        <v>18.633587786259543</v>
      </c>
      <c r="E79" s="1010">
        <f>+E17/E19</f>
        <v>19.226923076923075</v>
      </c>
      <c r="F79" s="1010">
        <f>C79-D79</f>
        <v>0.61448913681737949</v>
      </c>
      <c r="G79" s="907" t="str">
        <f>IF(F79&gt;=0,"over","under")</f>
        <v>over</v>
      </c>
      <c r="H79" s="1010">
        <f>C79-E79</f>
        <v>2.1153846153847411E-2</v>
      </c>
      <c r="I79" s="907" t="str">
        <f>IF(H79&gt;=0,"more","less")</f>
        <v>more</v>
      </c>
    </row>
    <row r="80" spans="1:9" ht="13.5" thickTop="1" x14ac:dyDescent="0.2">
      <c r="A80" s="927"/>
      <c r="B80" s="936"/>
      <c r="C80" s="1017"/>
      <c r="D80" s="1017"/>
      <c r="E80" s="1017"/>
      <c r="F80" s="999"/>
      <c r="G80" s="907"/>
      <c r="H80" s="999"/>
      <c r="I80" s="907"/>
    </row>
    <row r="81" spans="1:10" x14ac:dyDescent="0.2">
      <c r="A81" s="927"/>
      <c r="B81" s="936"/>
      <c r="C81" s="1017"/>
      <c r="D81" s="1017"/>
      <c r="E81" s="1017"/>
      <c r="F81" s="999"/>
      <c r="G81" s="907"/>
      <c r="H81" s="999"/>
      <c r="I81" s="907"/>
    </row>
    <row r="82" spans="1:10" ht="13.5" thickBot="1" x14ac:dyDescent="0.25">
      <c r="A82" s="899"/>
      <c r="B82" s="900" t="s">
        <v>25</v>
      </c>
      <c r="C82" s="946"/>
      <c r="D82" s="946"/>
      <c r="E82" s="946"/>
      <c r="F82" s="932"/>
      <c r="G82" s="907"/>
      <c r="H82" s="1018"/>
      <c r="I82" s="907"/>
    </row>
    <row r="83" spans="1:10" x14ac:dyDescent="0.2">
      <c r="B83" s="905" t="s">
        <v>26</v>
      </c>
      <c r="C83" s="1019">
        <f>+C98/C100</f>
        <v>0.65109492434154725</v>
      </c>
      <c r="D83" s="1019">
        <f>+D98/D100</f>
        <v>0.4862349808842798</v>
      </c>
      <c r="E83" s="1019">
        <f>+E98/E100</f>
        <v>0.588683611256832</v>
      </c>
      <c r="F83" s="1019">
        <f>+C83-D83</f>
        <v>0.16485994345726745</v>
      </c>
      <c r="G83" s="907" t="str">
        <f>IF(F83&gt;=0,"over","under")</f>
        <v>over</v>
      </c>
      <c r="H83" s="993">
        <f>+C83-E83</f>
        <v>6.2411313084715259E-2</v>
      </c>
      <c r="I83" s="907" t="str">
        <f>IF(H83&gt;=0,"more","less")</f>
        <v>more</v>
      </c>
      <c r="J83" s="878" t="str">
        <f>IF(F83&gt;=0,"increase","decrease")</f>
        <v>increase</v>
      </c>
    </row>
    <row r="84" spans="1:10" x14ac:dyDescent="0.2">
      <c r="B84" s="905" t="s">
        <v>27</v>
      </c>
      <c r="C84" s="993">
        <f>Technical_direct/(C17-C25)</f>
        <v>0.57248789346246975</v>
      </c>
      <c r="D84" s="993">
        <f>Technical_direct/(D17-D25)</f>
        <v>0.57783695206882424</v>
      </c>
      <c r="E84" s="993">
        <f>Technical_direct/(E17-E25)</f>
        <v>0.5268361581920904</v>
      </c>
      <c r="F84" s="983">
        <f>+C84-D84</f>
        <v>-5.3490586063544843E-3</v>
      </c>
      <c r="G84" s="907" t="str">
        <f>IF(F84&gt;=0,"over","under")</f>
        <v>under</v>
      </c>
      <c r="H84" s="993">
        <f>+C84-E84</f>
        <v>4.5651735270379357E-2</v>
      </c>
      <c r="I84" s="907" t="str">
        <f>IF(H84&gt;=0,"more","less")</f>
        <v>more</v>
      </c>
    </row>
    <row r="85" spans="1:10" x14ac:dyDescent="0.2">
      <c r="B85" s="905" t="s">
        <v>28</v>
      </c>
      <c r="C85" s="993">
        <f>Technical_direct/C17</f>
        <v>0.56693975422120091</v>
      </c>
      <c r="D85" s="993">
        <f>Technical_direct/D17</f>
        <v>0.57783695206882424</v>
      </c>
      <c r="E85" s="993">
        <f>Technical_direct/E17</f>
        <v>0.52230446089217841</v>
      </c>
      <c r="F85" s="983">
        <f>+C85-D85</f>
        <v>-1.089719784762333E-2</v>
      </c>
      <c r="G85" s="907" t="str">
        <f>IF(F85&gt;=0,"over","under")</f>
        <v>under</v>
      </c>
      <c r="H85" s="993">
        <f>+C85-E85</f>
        <v>4.4635293329022496E-2</v>
      </c>
      <c r="I85" s="907" t="str">
        <f>IF(H85&gt;=0,"more","less")</f>
        <v>more</v>
      </c>
    </row>
    <row r="86" spans="1:10" ht="13.5" thickBot="1" x14ac:dyDescent="0.25">
      <c r="B86" s="905" t="s">
        <v>29</v>
      </c>
      <c r="C86" s="993">
        <f>Technical_direct/C12</f>
        <v>0.70922384701912256</v>
      </c>
      <c r="D86" s="993">
        <f>Technical_direct/D12</f>
        <v>0.74315068493150682</v>
      </c>
      <c r="E86" s="993">
        <f>Technical_direct/E12</f>
        <v>0.653566958698373</v>
      </c>
      <c r="F86" s="987">
        <f>+C86-D86</f>
        <v>-3.3926837912384267E-2</v>
      </c>
      <c r="G86" s="907" t="str">
        <f>IF(F86&gt;=0,"over","under")</f>
        <v>under</v>
      </c>
      <c r="H86" s="987">
        <f>+C86-E86</f>
        <v>5.5656888320749554E-2</v>
      </c>
      <c r="I86" s="907" t="str">
        <f>IF(H86&gt;=0,"more","less")</f>
        <v>more</v>
      </c>
    </row>
    <row r="87" spans="1:10" ht="13.5" thickTop="1" x14ac:dyDescent="0.2">
      <c r="A87" s="1020"/>
      <c r="B87" s="1021"/>
      <c r="C87" s="1022"/>
      <c r="D87" s="1022"/>
      <c r="E87" s="1022"/>
      <c r="F87" s="1023"/>
      <c r="G87" s="907"/>
      <c r="H87" s="1023"/>
      <c r="I87" s="907"/>
    </row>
    <row r="88" spans="1:10" x14ac:dyDescent="0.2">
      <c r="A88" s="877"/>
      <c r="C88" s="877"/>
      <c r="D88" s="877"/>
      <c r="E88" s="877"/>
      <c r="G88" s="907"/>
      <c r="I88" s="907"/>
    </row>
    <row r="89" spans="1:10" ht="13.5" thickBot="1" x14ac:dyDescent="0.25">
      <c r="B89" s="900" t="s">
        <v>30</v>
      </c>
      <c r="C89" s="946"/>
      <c r="D89" s="946"/>
      <c r="E89" s="946"/>
      <c r="F89" s="1024"/>
      <c r="G89" s="907"/>
      <c r="H89" s="1024"/>
      <c r="I89" s="907"/>
    </row>
    <row r="90" spans="1:10" ht="13.5" thickBot="1" x14ac:dyDescent="0.25">
      <c r="B90" s="909" t="s">
        <v>31</v>
      </c>
      <c r="C90" s="1025">
        <f>+C36/Technical_direct</f>
        <v>80.131936734514056</v>
      </c>
      <c r="D90" s="1025">
        <f>+D36/Technical_direct</f>
        <v>102.46753716937626</v>
      </c>
      <c r="E90" s="1025">
        <f>+E36/Technical_direct</f>
        <v>67.422121792416689</v>
      </c>
      <c r="F90" s="1025">
        <f>+C90-D90</f>
        <v>-22.335600434862201</v>
      </c>
      <c r="G90" s="907" t="str">
        <f>IF(F90&gt;=0,"over","under")</f>
        <v>under</v>
      </c>
      <c r="H90" s="1025">
        <f>+C90-E90</f>
        <v>12.709814942097367</v>
      </c>
      <c r="I90" s="907" t="str">
        <f>IF(H90&gt;=0,"more","less")</f>
        <v>more</v>
      </c>
    </row>
    <row r="91" spans="1:10" x14ac:dyDescent="0.2">
      <c r="B91" s="905" t="s">
        <v>32</v>
      </c>
      <c r="C91" s="1026">
        <f>+C35/Technical_direct</f>
        <v>31.688117014714955</v>
      </c>
      <c r="D91" s="1026">
        <f>+D35/Technical_direct</f>
        <v>26.865733250620348</v>
      </c>
      <c r="E91" s="1026">
        <f>+E35/Technical_direct</f>
        <v>35.897745116813482</v>
      </c>
      <c r="F91" s="1026">
        <f>+C91-D91</f>
        <v>4.8223837640946066</v>
      </c>
      <c r="G91" s="907" t="str">
        <f>IF(F91&gt;=0,"over","under")</f>
        <v>over</v>
      </c>
      <c r="H91" s="1026">
        <f>+C91-E91</f>
        <v>-4.2096281020985273</v>
      </c>
      <c r="I91" s="907" t="str">
        <f>IF(H91&gt;=0,"more","less")</f>
        <v>less</v>
      </c>
    </row>
    <row r="92" spans="1:10" ht="13.5" thickBot="1" x14ac:dyDescent="0.25">
      <c r="B92" s="909" t="s">
        <v>33</v>
      </c>
      <c r="C92" s="1025">
        <f t="shared" ref="C92:E94" si="6">+C41/Technical_direct</f>
        <v>46.301882104150138</v>
      </c>
      <c r="D92" s="1025">
        <f>+D41/Technical_direct</f>
        <v>59.09412801420229</v>
      </c>
      <c r="E92" s="1025">
        <f t="shared" si="6"/>
        <v>64.34122654155496</v>
      </c>
      <c r="F92" s="1025">
        <f>+C92-D92</f>
        <v>-12.792245910052152</v>
      </c>
      <c r="G92" s="907" t="str">
        <f>IF(F92&gt;=0,"over","under")</f>
        <v>under</v>
      </c>
      <c r="H92" s="1025">
        <f>+C92-E92</f>
        <v>-18.039344437404822</v>
      </c>
      <c r="I92" s="907" t="str">
        <f>IF(H92&gt;=0,"more","less")</f>
        <v>less</v>
      </c>
    </row>
    <row r="93" spans="1:10" ht="13.5" thickBot="1" x14ac:dyDescent="0.25">
      <c r="B93" s="909" t="s">
        <v>34</v>
      </c>
      <c r="C93" s="1025">
        <f t="shared" si="6"/>
        <v>77.9899991188651</v>
      </c>
      <c r="D93" s="1025">
        <f t="shared" si="6"/>
        <v>85.959861264822635</v>
      </c>
      <c r="E93" s="1025">
        <f t="shared" si="6"/>
        <v>100.23897165836844</v>
      </c>
      <c r="F93" s="1025">
        <f>+C93-D93</f>
        <v>-7.9698621459575349</v>
      </c>
      <c r="G93" s="907" t="str">
        <f>IF(F93&gt;=0,"over","under")</f>
        <v>under</v>
      </c>
      <c r="H93" s="1025">
        <f>+C93-E93</f>
        <v>-22.248972539503342</v>
      </c>
      <c r="I93" s="907" t="str">
        <f>IF(H93&gt;=0,"more","less")</f>
        <v>less</v>
      </c>
    </row>
    <row r="94" spans="1:10" ht="13.5" thickBot="1" x14ac:dyDescent="0.25">
      <c r="B94" s="948" t="s">
        <v>35</v>
      </c>
      <c r="C94" s="1027">
        <f t="shared" si="6"/>
        <v>2.1419376156489562</v>
      </c>
      <c r="D94" s="1027">
        <f t="shared" si="6"/>
        <v>16.507675904553597</v>
      </c>
      <c r="E94" s="1027">
        <f t="shared" si="6"/>
        <v>-32.81684986595176</v>
      </c>
      <c r="F94" s="1027">
        <f>+C94-D94</f>
        <v>-14.365738288904641</v>
      </c>
      <c r="G94" s="907" t="str">
        <f>IF(F94&gt;=0,"over","under")</f>
        <v>under</v>
      </c>
      <c r="H94" s="1027">
        <f>+C94-E94</f>
        <v>34.958787481600716</v>
      </c>
      <c r="I94" s="907" t="str">
        <f>IF(H94&gt;=0,"more","less")</f>
        <v>more</v>
      </c>
    </row>
    <row r="95" spans="1:10" ht="13.5" thickTop="1" x14ac:dyDescent="0.2">
      <c r="B95" s="1000"/>
      <c r="C95" s="944"/>
      <c r="D95" s="944"/>
      <c r="E95" s="944"/>
      <c r="F95" s="886"/>
      <c r="G95" s="907"/>
      <c r="H95" s="1028"/>
      <c r="I95" s="907"/>
    </row>
    <row r="96" spans="1:10" x14ac:dyDescent="0.2">
      <c r="B96" s="1000"/>
      <c r="C96" s="944"/>
      <c r="D96" s="944"/>
      <c r="E96" s="944"/>
      <c r="F96" s="886"/>
      <c r="G96" s="907"/>
      <c r="H96" s="1028"/>
      <c r="I96" s="907"/>
    </row>
    <row r="97" spans="1:9" ht="13.5" thickBot="1" x14ac:dyDescent="0.25">
      <c r="A97" s="979"/>
      <c r="B97" s="1029" t="s">
        <v>120</v>
      </c>
      <c r="C97" s="978"/>
      <c r="D97" s="978"/>
      <c r="E97" s="978"/>
      <c r="F97" s="978"/>
      <c r="G97" s="978"/>
      <c r="H97" s="978"/>
      <c r="I97" s="907"/>
    </row>
    <row r="98" spans="1:9" x14ac:dyDescent="0.2">
      <c r="A98" s="922"/>
      <c r="B98" s="967" t="s">
        <v>49</v>
      </c>
      <c r="C98" s="951">
        <f>+C35</f>
        <v>359628.44</v>
      </c>
      <c r="D98" s="951">
        <f>+D35</f>
        <v>303152.93400000001</v>
      </c>
      <c r="E98" s="951">
        <f>+E35</f>
        <v>374916.05</v>
      </c>
      <c r="F98" s="951">
        <f>+C98-D98</f>
        <v>56475.505999999994</v>
      </c>
      <c r="G98" s="951"/>
      <c r="H98" s="951">
        <f>+C98-E98</f>
        <v>-15287.609999999986</v>
      </c>
      <c r="I98" s="907"/>
    </row>
    <row r="99" spans="1:9" x14ac:dyDescent="0.2">
      <c r="A99" s="1030"/>
      <c r="B99" s="1031" t="s">
        <v>50</v>
      </c>
      <c r="C99" s="1032">
        <f>+C39</f>
        <v>192715.66</v>
      </c>
      <c r="D99" s="1032">
        <f>+D39</f>
        <v>320317.08752884611</v>
      </c>
      <c r="E99" s="1032">
        <f>+E39</f>
        <v>261955.85</v>
      </c>
      <c r="F99" s="1032">
        <f>+C99-D99</f>
        <v>-127601.42752884611</v>
      </c>
      <c r="G99" s="1032"/>
      <c r="H99" s="1032">
        <f>+C99-E99</f>
        <v>-69240.19</v>
      </c>
      <c r="I99" s="907"/>
    </row>
    <row r="100" spans="1:9" ht="13.5" thickBot="1" x14ac:dyDescent="0.25">
      <c r="A100" s="1033"/>
      <c r="B100" s="1034" t="s">
        <v>121</v>
      </c>
      <c r="C100" s="1035">
        <f>+C99+C98</f>
        <v>552344.1</v>
      </c>
      <c r="D100" s="1035">
        <f>+D99+D98</f>
        <v>623470.02152884612</v>
      </c>
      <c r="E100" s="1035">
        <f>+E99+E98</f>
        <v>636871.9</v>
      </c>
      <c r="F100" s="1035">
        <f>+C100-D100</f>
        <v>-71125.921528846142</v>
      </c>
      <c r="G100" s="1035" t="str">
        <f>IF(F100&gt;=0,"over","under")</f>
        <v>under</v>
      </c>
      <c r="H100" s="1035">
        <f>+C100-E100</f>
        <v>-84527.800000000047</v>
      </c>
      <c r="I100" s="907" t="str">
        <f>IF(H100&gt;=0,"more","less")</f>
        <v>less</v>
      </c>
    </row>
    <row r="101" spans="1:9" ht="13.5" thickTop="1" x14ac:dyDescent="0.2">
      <c r="B101" s="1000"/>
      <c r="C101" s="944"/>
      <c r="D101" s="944"/>
      <c r="E101" s="944"/>
      <c r="F101" s="886"/>
      <c r="G101" s="907"/>
      <c r="H101" s="1028"/>
      <c r="I101" s="907"/>
    </row>
    <row r="102" spans="1:9" ht="13.5" thickBot="1" x14ac:dyDescent="0.25">
      <c r="B102" s="1036" t="s">
        <v>47</v>
      </c>
      <c r="C102" s="996">
        <f>+C103/C104</f>
        <v>0.60736041598502588</v>
      </c>
      <c r="D102" s="996">
        <f>+D103/D104</f>
        <v>0.53922025887293945</v>
      </c>
      <c r="E102" s="996">
        <f>+E103/E104</f>
        <v>0.9044463459153067</v>
      </c>
      <c r="F102" s="996">
        <f>C102-D102</f>
        <v>6.814015711208643E-2</v>
      </c>
      <c r="G102" s="910" t="str">
        <f>IF(F102&gt;=0,"over","under")</f>
        <v>over</v>
      </c>
      <c r="H102" s="996">
        <f>C102-E102</f>
        <v>-0.29708592993028082</v>
      </c>
      <c r="I102" s="907" t="str">
        <f>IF(H102&gt;=0,"more","less")</f>
        <v>less</v>
      </c>
    </row>
    <row r="103" spans="1:9" x14ac:dyDescent="0.2">
      <c r="B103" s="964" t="s">
        <v>45</v>
      </c>
      <c r="C103" s="1037">
        <f>+C100</f>
        <v>552344.1</v>
      </c>
      <c r="D103" s="1037">
        <f>+D100</f>
        <v>623470.02152884612</v>
      </c>
      <c r="E103" s="1037">
        <f>+E100</f>
        <v>636871.9</v>
      </c>
      <c r="F103" s="1037">
        <f>C103-D103</f>
        <v>-71125.921528846142</v>
      </c>
      <c r="G103" s="907"/>
      <c r="H103" s="1038">
        <f>C103-E103</f>
        <v>-84527.800000000047</v>
      </c>
      <c r="I103" s="907"/>
    </row>
    <row r="104" spans="1:9" ht="13.5" thickBot="1" x14ac:dyDescent="0.25">
      <c r="B104" s="986" t="s">
        <v>31</v>
      </c>
      <c r="C104" s="1039">
        <f>+C36</f>
        <v>909417.35000000009</v>
      </c>
      <c r="D104" s="1039">
        <f>+D36</f>
        <v>1156243.6894192416</v>
      </c>
      <c r="E104" s="1039">
        <f>+E36</f>
        <v>704156.6399999999</v>
      </c>
      <c r="F104" s="1039">
        <f>C104-D104</f>
        <v>-246826.33941924153</v>
      </c>
      <c r="G104" s="1040"/>
      <c r="H104" s="1039">
        <f>C104-E104</f>
        <v>205260.7100000002</v>
      </c>
      <c r="I104" s="907"/>
    </row>
    <row r="105" spans="1:9" ht="13.5" thickTop="1" x14ac:dyDescent="0.2">
      <c r="A105" s="1020"/>
      <c r="B105" s="1021"/>
      <c r="C105" s="1041"/>
      <c r="D105" s="1041"/>
      <c r="E105" s="1041"/>
      <c r="F105" s="1042"/>
      <c r="G105" s="907"/>
      <c r="H105" s="1043"/>
      <c r="I105" s="907"/>
    </row>
    <row r="106" spans="1:9" ht="13.5" thickBot="1" x14ac:dyDescent="0.25">
      <c r="A106" s="899"/>
      <c r="B106" s="900" t="s">
        <v>36</v>
      </c>
      <c r="C106" s="946"/>
      <c r="D106" s="946"/>
      <c r="E106" s="946"/>
      <c r="F106" s="933"/>
      <c r="G106" s="907"/>
      <c r="H106" s="1024"/>
      <c r="I106" s="907"/>
    </row>
    <row r="107" spans="1:9" ht="13.5" thickBot="1" x14ac:dyDescent="0.25">
      <c r="A107" s="899"/>
      <c r="B107" s="909" t="s">
        <v>31</v>
      </c>
      <c r="C107" s="1025">
        <f>+C36/C35</f>
        <v>2.5287692764231884</v>
      </c>
      <c r="D107" s="1025">
        <f>+D36/D35</f>
        <v>3.8140606926114775</v>
      </c>
      <c r="E107" s="1025">
        <f>+E36/E35</f>
        <v>1.8781714999931316</v>
      </c>
      <c r="F107" s="1025">
        <f>+C107-D107</f>
        <v>-1.2852914161882891</v>
      </c>
      <c r="G107" s="907" t="str">
        <f>IF(F107&gt;=0,"over","under")</f>
        <v>under</v>
      </c>
      <c r="H107" s="1025">
        <f>+C107-E107</f>
        <v>0.65059777643005678</v>
      </c>
      <c r="I107" s="907" t="str">
        <f>IF(H107&gt;=0,"more","less")</f>
        <v>more</v>
      </c>
    </row>
    <row r="108" spans="1:9" x14ac:dyDescent="0.2">
      <c r="B108" s="905" t="s">
        <v>37</v>
      </c>
      <c r="C108" s="1026">
        <f>+C35/C35</f>
        <v>1</v>
      </c>
      <c r="D108" s="1026">
        <f>+D35/D35</f>
        <v>1</v>
      </c>
      <c r="E108" s="1026">
        <f>+E35/E35</f>
        <v>1</v>
      </c>
      <c r="F108" s="1026">
        <f>+C108-D108</f>
        <v>0</v>
      </c>
      <c r="G108" s="907"/>
      <c r="H108" s="1026">
        <f>+C108-E108</f>
        <v>0</v>
      </c>
      <c r="I108" s="907"/>
    </row>
    <row r="109" spans="1:9" ht="13.5" thickBot="1" x14ac:dyDescent="0.25">
      <c r="A109" s="899"/>
      <c r="B109" s="909" t="s">
        <v>38</v>
      </c>
      <c r="C109" s="1025">
        <f>+C41/C35</f>
        <v>1.4611749282120177</v>
      </c>
      <c r="D109" s="1025">
        <f>+D41/D35</f>
        <v>2.1996097207895029</v>
      </c>
      <c r="E109" s="1025">
        <f>+E41/E35</f>
        <v>1.7923473001489267</v>
      </c>
      <c r="F109" s="1025">
        <f>+C109-D109</f>
        <v>-0.73843479257748523</v>
      </c>
      <c r="G109" s="907" t="str">
        <f>IF(F109&gt;=0,"over","under")</f>
        <v>under</v>
      </c>
      <c r="H109" s="1025">
        <f>+C109-E109</f>
        <v>-0.33117237193690907</v>
      </c>
      <c r="I109" s="907" t="str">
        <f>IF(H109&gt;=0,"more","less")</f>
        <v>less</v>
      </c>
    </row>
    <row r="110" spans="1:9" ht="13.5" thickBot="1" x14ac:dyDescent="0.25">
      <c r="A110" s="899"/>
      <c r="B110" s="909" t="s">
        <v>34</v>
      </c>
      <c r="C110" s="1025">
        <f>+C42/C35</f>
        <v>2.4611749282120181</v>
      </c>
      <c r="D110" s="1025">
        <f>+D42/D35</f>
        <v>3.1996097207895029</v>
      </c>
      <c r="E110" s="1025">
        <f>+E42/E35</f>
        <v>2.792347300148927</v>
      </c>
      <c r="F110" s="1025">
        <f>+C110-D110</f>
        <v>-0.73843479257748479</v>
      </c>
      <c r="G110" s="907" t="str">
        <f>IF(F110&gt;=0,"over","under")</f>
        <v>under</v>
      </c>
      <c r="H110" s="1025">
        <f>+C110-E110</f>
        <v>-0.33117237193690885</v>
      </c>
      <c r="I110" s="907" t="str">
        <f>IF(H110&gt;=0,"more","less")</f>
        <v>less</v>
      </c>
    </row>
    <row r="111" spans="1:9" ht="13.5" thickBot="1" x14ac:dyDescent="0.25">
      <c r="A111" s="1008"/>
      <c r="B111" s="948" t="s">
        <v>35</v>
      </c>
      <c r="C111" s="1027">
        <f>+C43/C35</f>
        <v>6.7594348211170413E-2</v>
      </c>
      <c r="D111" s="1027">
        <f>+D43/D35</f>
        <v>0.61445097182197417</v>
      </c>
      <c r="E111" s="1027">
        <f>+E43/E35</f>
        <v>-0.91417580015579536</v>
      </c>
      <c r="F111" s="1027">
        <f>+C111-D111</f>
        <v>-0.54685662361080378</v>
      </c>
      <c r="G111" s="907" t="str">
        <f>IF(F111&gt;=0,"over","under")</f>
        <v>under</v>
      </c>
      <c r="H111" s="1027">
        <f>+C111-E111</f>
        <v>0.98177014836696574</v>
      </c>
      <c r="I111" s="907" t="str">
        <f>IF(H111&gt;=0,"more","less")</f>
        <v>more</v>
      </c>
    </row>
    <row r="112" spans="1:9" ht="13.5" thickTop="1" x14ac:dyDescent="0.2">
      <c r="B112" s="1000"/>
      <c r="C112" s="944"/>
      <c r="D112" s="944"/>
      <c r="E112" s="944"/>
      <c r="F112" s="886"/>
      <c r="G112" s="907"/>
      <c r="H112" s="1028"/>
      <c r="I112" s="907"/>
    </row>
    <row r="113" spans="1:9" ht="13.5" thickBot="1" x14ac:dyDescent="0.25">
      <c r="A113" s="899"/>
      <c r="B113" s="900" t="s">
        <v>40</v>
      </c>
      <c r="C113" s="946"/>
      <c r="D113" s="946"/>
      <c r="E113" s="946"/>
      <c r="F113" s="933"/>
      <c r="G113" s="907"/>
      <c r="H113" s="1044"/>
      <c r="I113" s="907"/>
    </row>
    <row r="114" spans="1:9" x14ac:dyDescent="0.2">
      <c r="B114" s="1045" t="s">
        <v>122</v>
      </c>
      <c r="C114" s="965">
        <f>+C36/C71</f>
        <v>47247.179738235594</v>
      </c>
      <c r="D114" s="965">
        <f>+D36/D71</f>
        <v>62051.58677342099</v>
      </c>
      <c r="E114" s="965">
        <f>+E36/E71</f>
        <v>36623.469973994797</v>
      </c>
      <c r="F114" s="965">
        <f>+C114-D114</f>
        <v>-14804.407035185395</v>
      </c>
      <c r="G114" s="907" t="str">
        <f>IF(F114&gt;=0,"over","under")</f>
        <v>under</v>
      </c>
      <c r="H114" s="965">
        <f>+C114-E114</f>
        <v>10623.709764240797</v>
      </c>
      <c r="I114" s="907" t="str">
        <f>IF(H114&gt;=0,"more","less")</f>
        <v>more</v>
      </c>
    </row>
    <row r="115" spans="1:9" ht="13.5" thickBot="1" x14ac:dyDescent="0.25">
      <c r="A115" s="1008"/>
      <c r="B115" s="1045" t="s">
        <v>123</v>
      </c>
      <c r="C115" s="921">
        <f>+C36/C67</f>
        <v>59104.739657542807</v>
      </c>
      <c r="D115" s="921">
        <f>+D36/D67</f>
        <v>79803.963811338588</v>
      </c>
      <c r="E115" s="921">
        <f>+E36/E67</f>
        <v>45827.465932415515</v>
      </c>
      <c r="F115" s="921">
        <f>+C115-D115</f>
        <v>-20699.224153795782</v>
      </c>
      <c r="G115" s="907" t="str">
        <f>IF(F115&gt;=0,"over","under")</f>
        <v>under</v>
      </c>
      <c r="H115" s="921">
        <f>+C115-E115</f>
        <v>13277.273725127292</v>
      </c>
      <c r="I115" s="907" t="str">
        <f>IF(H115&gt;=0,"more","less")</f>
        <v>more</v>
      </c>
    </row>
    <row r="116" spans="1:9" ht="13.5" thickTop="1" x14ac:dyDescent="0.2">
      <c r="B116" s="1021"/>
      <c r="C116" s="951"/>
      <c r="D116" s="951"/>
      <c r="E116" s="951"/>
      <c r="F116" s="906"/>
      <c r="G116" s="907"/>
      <c r="H116" s="906"/>
      <c r="I116" s="907"/>
    </row>
    <row r="117" spans="1:9" ht="13.5" thickBot="1" x14ac:dyDescent="0.25">
      <c r="A117" s="899"/>
      <c r="B117" s="1046" t="s">
        <v>41</v>
      </c>
      <c r="C117" s="956"/>
      <c r="D117" s="956"/>
      <c r="E117" s="956"/>
      <c r="F117" s="1047"/>
      <c r="G117" s="907"/>
      <c r="H117" s="1047"/>
      <c r="I117" s="907"/>
    </row>
    <row r="118" spans="1:9" x14ac:dyDescent="0.2">
      <c r="B118" s="1045" t="s">
        <v>124</v>
      </c>
      <c r="C118" s="965">
        <f>+C43/C71</f>
        <v>1262.923568788091</v>
      </c>
      <c r="D118" s="965">
        <f>+D43/D71</f>
        <v>9996.6048966877297</v>
      </c>
      <c r="E118" s="965">
        <f>+E43/E71</f>
        <v>-17826.002560512112</v>
      </c>
      <c r="F118" s="965">
        <f>C118-D118</f>
        <v>-8733.6813278996378</v>
      </c>
      <c r="G118" s="907" t="str">
        <f>IF(F118&gt;=0,"over","under")</f>
        <v>under</v>
      </c>
      <c r="H118" s="965">
        <f>C118-E118</f>
        <v>19088.926129300202</v>
      </c>
      <c r="I118" s="907" t="str">
        <f>IF(H118&gt;=0,"more","less")</f>
        <v>more</v>
      </c>
    </row>
    <row r="119" spans="1:9" ht="13.5" thickBot="1" x14ac:dyDescent="0.25">
      <c r="A119" s="1008"/>
      <c r="B119" s="1045" t="s">
        <v>125</v>
      </c>
      <c r="C119" s="921">
        <f>+C43/C67</f>
        <v>1579.8777652793403</v>
      </c>
      <c r="D119" s="921">
        <f>+D43/D67</f>
        <v>12856.539806540963</v>
      </c>
      <c r="E119" s="921">
        <f>+E43/E67</f>
        <v>-22305.929111389247</v>
      </c>
      <c r="F119" s="965">
        <f>C119-D119</f>
        <v>-11276.662041261623</v>
      </c>
      <c r="G119" s="907" t="str">
        <f>IF(F119&gt;=0,"over","under")</f>
        <v>under</v>
      </c>
      <c r="H119" s="965">
        <f>C119-E119</f>
        <v>23885.806876668586</v>
      </c>
      <c r="I119" s="907" t="str">
        <f>IF(H119&gt;=0,"more","less")</f>
        <v>more</v>
      </c>
    </row>
    <row r="120" spans="1:9" ht="13.5" thickTop="1" x14ac:dyDescent="0.2">
      <c r="B120" s="1021"/>
      <c r="C120" s="1041"/>
      <c r="D120" s="1041"/>
      <c r="E120" s="1041"/>
      <c r="F120" s="1042"/>
      <c r="G120" s="907"/>
      <c r="H120" s="1048"/>
      <c r="I120" s="907"/>
    </row>
    <row r="121" spans="1:9" x14ac:dyDescent="0.2">
      <c r="A121" s="927"/>
      <c r="B121" s="1000"/>
      <c r="C121" s="944"/>
      <c r="D121" s="944"/>
      <c r="E121" s="944"/>
      <c r="F121" s="1049"/>
      <c r="G121" s="907"/>
      <c r="H121" s="1049"/>
      <c r="I121" s="907"/>
    </row>
    <row r="122" spans="1:9" ht="13.5" thickBot="1" x14ac:dyDescent="0.25">
      <c r="A122" s="1036"/>
      <c r="B122" s="900" t="s">
        <v>42</v>
      </c>
      <c r="C122" s="1025">
        <f>+C123*C124</f>
        <v>1.646468840709985</v>
      </c>
      <c r="D122" s="1025">
        <f>+D123*D124</f>
        <v>1.8545297279634247</v>
      </c>
      <c r="E122" s="1025">
        <f>+E123*E124</f>
        <v>1.1056487811756177</v>
      </c>
      <c r="F122" s="1025">
        <f>C122-D122</f>
        <v>-0.20806088725343974</v>
      </c>
      <c r="G122" s="907" t="str">
        <f>IF(F122&gt;=0,"over","under")</f>
        <v>under</v>
      </c>
      <c r="H122" s="1025">
        <f>C122-E122</f>
        <v>0.54082005953436729</v>
      </c>
      <c r="I122" s="907" t="str">
        <f>IF(H122&gt;=0,"more","less")</f>
        <v>more</v>
      </c>
    </row>
    <row r="123" spans="1:9" x14ac:dyDescent="0.2">
      <c r="B123" s="905" t="s">
        <v>43</v>
      </c>
      <c r="C123" s="1026">
        <f>+C107</f>
        <v>2.5287692764231884</v>
      </c>
      <c r="D123" s="1026">
        <f>+D107</f>
        <v>3.8140606926114775</v>
      </c>
      <c r="E123" s="1026">
        <f>+E107</f>
        <v>1.8781714999931316</v>
      </c>
      <c r="F123" s="1026">
        <f>C123-D123</f>
        <v>-1.2852914161882891</v>
      </c>
      <c r="G123" s="907"/>
      <c r="H123" s="1026">
        <f>C123-E123</f>
        <v>0.65059777643005678</v>
      </c>
      <c r="I123" s="907"/>
    </row>
    <row r="124" spans="1:9" ht="13.5" thickBot="1" x14ac:dyDescent="0.25">
      <c r="A124" s="1050"/>
      <c r="B124" s="998" t="s">
        <v>44</v>
      </c>
      <c r="C124" s="987">
        <f>+C83</f>
        <v>0.65109492434154725</v>
      </c>
      <c r="D124" s="987">
        <f>+D83</f>
        <v>0.4862349808842798</v>
      </c>
      <c r="E124" s="987">
        <f>+E83</f>
        <v>0.588683611256832</v>
      </c>
      <c r="F124" s="987">
        <f>C124-D124</f>
        <v>0.16485994345726745</v>
      </c>
      <c r="G124" s="907"/>
      <c r="H124" s="987">
        <f>C124-E124</f>
        <v>6.2411313084715259E-2</v>
      </c>
      <c r="I124" s="907"/>
    </row>
    <row r="125" spans="1:9" ht="13.5" thickTop="1" x14ac:dyDescent="0.2">
      <c r="B125" s="905"/>
      <c r="C125" s="1051"/>
      <c r="D125" s="1051"/>
      <c r="E125" s="1051"/>
      <c r="F125" s="1037"/>
      <c r="G125" s="907"/>
      <c r="H125" s="1037"/>
      <c r="I125" s="907"/>
    </row>
    <row r="126" spans="1:9" x14ac:dyDescent="0.2">
      <c r="B126" s="905"/>
      <c r="C126" s="1051"/>
      <c r="D126" s="1051"/>
      <c r="E126" s="1051"/>
      <c r="F126" s="1037"/>
      <c r="G126" s="907"/>
      <c r="H126" s="1037"/>
      <c r="I126" s="907"/>
    </row>
    <row r="127" spans="1:9" ht="13.5" thickBot="1" x14ac:dyDescent="0.25">
      <c r="A127" s="899"/>
      <c r="B127" s="900" t="s">
        <v>126</v>
      </c>
      <c r="C127" s="1052">
        <f>+C128/C129</f>
        <v>1.6464688407099852</v>
      </c>
      <c r="D127" s="1052">
        <f>+D128/D129</f>
        <v>1.8545297279634247</v>
      </c>
      <c r="E127" s="1052">
        <f>+E128/E129</f>
        <v>1.1056487811756177</v>
      </c>
      <c r="F127" s="1052">
        <f>C127-D127</f>
        <v>-0.20806088725343952</v>
      </c>
      <c r="G127" s="907"/>
      <c r="H127" s="1052">
        <f>C127-E127</f>
        <v>0.54082005953436751</v>
      </c>
      <c r="I127" s="907"/>
    </row>
    <row r="128" spans="1:9" x14ac:dyDescent="0.2">
      <c r="B128" s="905" t="s">
        <v>31</v>
      </c>
      <c r="C128" s="944">
        <f>+C36</f>
        <v>909417.35000000009</v>
      </c>
      <c r="D128" s="944">
        <f>+D36</f>
        <v>1156243.6894192416</v>
      </c>
      <c r="E128" s="944">
        <f>+E36</f>
        <v>704156.6399999999</v>
      </c>
      <c r="F128" s="1037">
        <f>C128-D128</f>
        <v>-246826.33941924153</v>
      </c>
      <c r="G128" s="907"/>
      <c r="H128" s="944">
        <f>C128-E128</f>
        <v>205260.7100000002</v>
      </c>
      <c r="I128" s="907"/>
    </row>
    <row r="129" spans="1:9" ht="13.5" thickBot="1" x14ac:dyDescent="0.25">
      <c r="A129" s="1008"/>
      <c r="B129" s="920" t="s">
        <v>45</v>
      </c>
      <c r="C129" s="1039">
        <f>+C100</f>
        <v>552344.1</v>
      </c>
      <c r="D129" s="1039">
        <f>+D100</f>
        <v>623470.02152884612</v>
      </c>
      <c r="E129" s="1039">
        <f>+E100</f>
        <v>636871.9</v>
      </c>
      <c r="F129" s="1039">
        <f>C129-D129</f>
        <v>-71125.921528846142</v>
      </c>
      <c r="G129" s="907"/>
      <c r="H129" s="1039">
        <f>C129-E129</f>
        <v>-84527.800000000047</v>
      </c>
      <c r="I129" s="907"/>
    </row>
    <row r="130" spans="1:9" ht="13.5" thickTop="1" x14ac:dyDescent="0.2">
      <c r="B130" s="905"/>
      <c r="C130" s="1037"/>
      <c r="D130" s="1037"/>
      <c r="E130" s="1037"/>
      <c r="F130" s="1037"/>
      <c r="G130" s="907"/>
      <c r="H130" s="1037"/>
      <c r="I130" s="907"/>
    </row>
    <row r="131" spans="1:9" x14ac:dyDescent="0.2">
      <c r="B131" s="905"/>
      <c r="C131" s="1037"/>
      <c r="D131" s="1037"/>
      <c r="E131" s="1037"/>
      <c r="F131" s="1037"/>
      <c r="G131" s="907"/>
      <c r="H131" s="1037"/>
      <c r="I131" s="907"/>
    </row>
    <row r="132" spans="1:9" ht="13.5" thickBot="1" x14ac:dyDescent="0.25">
      <c r="A132" s="899"/>
      <c r="B132" s="900" t="s">
        <v>46</v>
      </c>
      <c r="C132" s="1025">
        <f>+C127</f>
        <v>1.6464688407099852</v>
      </c>
      <c r="D132" s="1025">
        <f>+D127</f>
        <v>1.8545297279634247</v>
      </c>
      <c r="E132" s="1025"/>
      <c r="F132" s="1025">
        <f>C132-D132</f>
        <v>-0.20806088725343952</v>
      </c>
      <c r="G132" s="907"/>
      <c r="H132" s="1053"/>
      <c r="I132" s="907"/>
    </row>
    <row r="133" spans="1:9" x14ac:dyDescent="0.2">
      <c r="B133" s="905" t="s">
        <v>147</v>
      </c>
      <c r="C133" s="965">
        <f>+C36</f>
        <v>909417.35000000009</v>
      </c>
      <c r="D133" s="965">
        <f>+D140</f>
        <v>1024338.5535152026</v>
      </c>
      <c r="E133" s="965"/>
      <c r="F133" s="951">
        <f>+D133-C133</f>
        <v>114921.20351520251</v>
      </c>
      <c r="G133" s="907" t="str">
        <f>IF(F133&lt;=0,"less","more")</f>
        <v>more</v>
      </c>
      <c r="H133" s="951"/>
    </row>
    <row r="134" spans="1:9" ht="13.5" thickBot="1" x14ac:dyDescent="0.25">
      <c r="A134" s="1008"/>
      <c r="B134" s="920" t="s">
        <v>148</v>
      </c>
      <c r="C134" s="921">
        <f>+C100</f>
        <v>552344.1</v>
      </c>
      <c r="D134" s="921">
        <f>+C140</f>
        <v>490376.25889054273</v>
      </c>
      <c r="E134" s="921"/>
      <c r="F134" s="921">
        <f>+D134-C134</f>
        <v>-61967.841109457251</v>
      </c>
      <c r="G134" s="907" t="str">
        <f>IF(F134&lt;=0,"less","more")</f>
        <v>less</v>
      </c>
      <c r="H134" s="951"/>
    </row>
    <row r="135" spans="1:9" ht="13.5" thickTop="1" x14ac:dyDescent="0.2">
      <c r="B135" s="905"/>
      <c r="C135" s="1037"/>
      <c r="D135" s="1037"/>
      <c r="E135" s="1037"/>
      <c r="F135" s="1037"/>
      <c r="H135" s="944"/>
    </row>
    <row r="136" spans="1:9" x14ac:dyDescent="0.2">
      <c r="B136" s="905"/>
      <c r="C136" s="1054" t="s">
        <v>52</v>
      </c>
      <c r="D136" s="1054" t="s">
        <v>53</v>
      </c>
      <c r="F136" s="1037"/>
      <c r="H136" s="944"/>
    </row>
    <row r="137" spans="1:9" ht="13.5" thickBot="1" x14ac:dyDescent="0.25">
      <c r="A137" s="900" t="s">
        <v>149</v>
      </c>
      <c r="B137" s="1055"/>
      <c r="C137" s="1056" t="s">
        <v>55</v>
      </c>
      <c r="D137" s="1056" t="s">
        <v>48</v>
      </c>
      <c r="F137" s="1037"/>
      <c r="H137" s="1037"/>
    </row>
    <row r="138" spans="1:9" x14ac:dyDescent="0.2">
      <c r="B138" s="905" t="s">
        <v>0</v>
      </c>
      <c r="C138" s="876">
        <f>+C36</f>
        <v>909417.35000000009</v>
      </c>
      <c r="D138" s="876">
        <f>+C100</f>
        <v>552344.1</v>
      </c>
      <c r="F138" s="1037"/>
      <c r="H138" s="1037"/>
    </row>
    <row r="139" spans="1:9" ht="13.5" thickBot="1" x14ac:dyDescent="0.25">
      <c r="A139" s="899"/>
      <c r="B139" s="909" t="s">
        <v>150</v>
      </c>
      <c r="C139" s="1057">
        <f>+D127</f>
        <v>1.8545297279634247</v>
      </c>
      <c r="D139" s="1057">
        <f>+C139</f>
        <v>1.8545297279634247</v>
      </c>
      <c r="F139" s="1037"/>
      <c r="H139" s="1037"/>
    </row>
    <row r="140" spans="1:9" ht="13.5" thickBot="1" x14ac:dyDescent="0.25">
      <c r="A140" s="1058"/>
      <c r="B140" s="1059" t="s">
        <v>151</v>
      </c>
      <c r="C140" s="1060">
        <f>+C138/C139</f>
        <v>490376.25889054273</v>
      </c>
      <c r="D140" s="1060">
        <f>+D139*D138</f>
        <v>1024338.5535152026</v>
      </c>
      <c r="F140" s="1037"/>
      <c r="H140" s="1037"/>
    </row>
    <row r="141" spans="1:9" ht="13.5" thickTop="1" x14ac:dyDescent="0.2">
      <c r="C141" s="1037"/>
      <c r="D141" s="1037"/>
      <c r="E141" s="1037"/>
      <c r="F141" s="1037"/>
      <c r="H141" s="1037"/>
    </row>
    <row r="142" spans="1:9" x14ac:dyDescent="0.2">
      <c r="A142" s="877"/>
      <c r="C142" s="1061"/>
      <c r="D142" s="1061"/>
      <c r="E142" s="1061"/>
      <c r="F142" s="1062"/>
      <c r="H142" s="1062"/>
    </row>
    <row r="143" spans="1:9" x14ac:dyDescent="0.2">
      <c r="B143" s="916"/>
      <c r="C143" s="1054" t="s">
        <v>53</v>
      </c>
      <c r="D143" s="1054" t="s">
        <v>152</v>
      </c>
      <c r="E143" s="1054"/>
      <c r="F143" s="1063" t="s">
        <v>153</v>
      </c>
      <c r="H143" s="1028"/>
    </row>
    <row r="144" spans="1:9" ht="13.5" thickBot="1" x14ac:dyDescent="0.25">
      <c r="A144" s="1064" t="s">
        <v>85</v>
      </c>
      <c r="B144" s="1065" t="s">
        <v>154</v>
      </c>
      <c r="C144" s="1056" t="s">
        <v>48</v>
      </c>
      <c r="D144" s="1056" t="s">
        <v>55</v>
      </c>
      <c r="E144" s="1056" t="s">
        <v>155</v>
      </c>
      <c r="F144" s="1066" t="s">
        <v>61</v>
      </c>
      <c r="H144" s="1028"/>
    </row>
    <row r="145" spans="1:10" x14ac:dyDescent="0.2">
      <c r="A145" s="1067" t="s">
        <v>88</v>
      </c>
      <c r="B145" s="877" t="s">
        <v>156</v>
      </c>
      <c r="C145" s="1068">
        <f>+F90</f>
        <v>-22.335600434862201</v>
      </c>
      <c r="D145" s="1068">
        <f>+F91</f>
        <v>4.8223837640946066</v>
      </c>
      <c r="E145" s="1068">
        <f>+F92</f>
        <v>-12.792245910052152</v>
      </c>
      <c r="F145" s="1068">
        <f>+C145-D145-E145</f>
        <v>-14.365738288904655</v>
      </c>
      <c r="H145" s="1028"/>
    </row>
    <row r="146" spans="1:10" x14ac:dyDescent="0.2">
      <c r="A146" s="1069" t="s">
        <v>89</v>
      </c>
      <c r="B146" s="1070" t="s">
        <v>157</v>
      </c>
      <c r="C146" s="1071">
        <f>+Technical_direct</f>
        <v>11349</v>
      </c>
      <c r="D146" s="1071">
        <f>+Technical_direct Actual.YTD</f>
        <v>11349</v>
      </c>
      <c r="E146" s="1071">
        <f>+Technical_direct Actual.YTD</f>
        <v>11349</v>
      </c>
      <c r="F146" s="1072"/>
      <c r="H146" s="1028"/>
    </row>
    <row r="147" spans="1:10" x14ac:dyDescent="0.2">
      <c r="A147" s="950" t="s">
        <v>91</v>
      </c>
      <c r="B147" s="896" t="s">
        <v>158</v>
      </c>
      <c r="C147" s="1073">
        <f>+C146*C145</f>
        <v>-253486.72933525112</v>
      </c>
      <c r="D147" s="1073">
        <f>+D146*D145</f>
        <v>54729.233338709688</v>
      </c>
      <c r="E147" s="1073">
        <f>+E146*E145</f>
        <v>-145179.19883318187</v>
      </c>
      <c r="F147" s="1073">
        <f>+C147-D147-E147</f>
        <v>-163036.76384077896</v>
      </c>
      <c r="H147" s="1028"/>
    </row>
    <row r="148" spans="1:10" ht="13.5" thickBot="1" x14ac:dyDescent="0.25">
      <c r="A148" s="945"/>
      <c r="B148" s="903"/>
      <c r="C148" s="910" t="str">
        <f>IF(Price_Variance.net.rev&gt;=0,"favorable","unfavorable")</f>
        <v>unfavorable</v>
      </c>
      <c r="D148" s="910" t="str">
        <f>IF(price.variance.dir.labor&gt;=0,"favorable","unfavorable")</f>
        <v>favorable</v>
      </c>
      <c r="E148" s="910" t="str">
        <f>IF(price.variance.overhead&gt;=0,"unfavorable","favorable")</f>
        <v>favorable</v>
      </c>
      <c r="F148" s="910" t="str">
        <f>IF(price.variance.profit&gt;=0,"favorable","unfavorable")</f>
        <v>unfavorable</v>
      </c>
      <c r="H148" s="1028"/>
    </row>
    <row r="149" spans="1:10" x14ac:dyDescent="0.2">
      <c r="A149" s="1067"/>
      <c r="B149" s="896"/>
      <c r="C149" s="1073"/>
      <c r="D149" s="1073"/>
      <c r="E149" s="1073"/>
      <c r="F149" s="1073"/>
      <c r="H149" s="1028"/>
    </row>
    <row r="150" spans="1:10" x14ac:dyDescent="0.2">
      <c r="A150" s="1067" t="s">
        <v>93</v>
      </c>
      <c r="B150" s="877" t="s">
        <v>159</v>
      </c>
      <c r="C150" s="1068">
        <f>+D90</f>
        <v>102.46753716937626</v>
      </c>
      <c r="D150" s="1068">
        <f>+D91</f>
        <v>26.865733250620348</v>
      </c>
      <c r="E150" s="1068">
        <f>+D92</f>
        <v>59.09412801420229</v>
      </c>
      <c r="F150" s="1068">
        <f>+C150-D150-E150</f>
        <v>16.507675904553615</v>
      </c>
      <c r="H150" s="1028"/>
    </row>
    <row r="151" spans="1:10" x14ac:dyDescent="0.2">
      <c r="A151" s="1069" t="s">
        <v>95</v>
      </c>
      <c r="B151" s="1070" t="s">
        <v>160</v>
      </c>
      <c r="C151" s="1072">
        <f>+F9</f>
        <v>65</v>
      </c>
      <c r="D151" s="1072">
        <f>+F9</f>
        <v>65</v>
      </c>
      <c r="E151" s="1072">
        <f>+F9</f>
        <v>65</v>
      </c>
      <c r="F151" s="1074"/>
      <c r="H151" s="1028"/>
    </row>
    <row r="152" spans="1:10" x14ac:dyDescent="0.2">
      <c r="A152" s="950" t="s">
        <v>97</v>
      </c>
      <c r="B152" s="896" t="s">
        <v>161</v>
      </c>
      <c r="C152" s="1073">
        <f>+C151*C150</f>
        <v>6660.389916009457</v>
      </c>
      <c r="D152" s="1073">
        <f>+D151*D150</f>
        <v>1746.2726612903227</v>
      </c>
      <c r="E152" s="1073">
        <f>+E151*E150</f>
        <v>3841.118320923149</v>
      </c>
      <c r="F152" s="1073">
        <f>+C152-D152-E152</f>
        <v>1072.9989337959855</v>
      </c>
      <c r="H152" s="1028"/>
    </row>
    <row r="153" spans="1:10" ht="13.5" thickBot="1" x14ac:dyDescent="0.25">
      <c r="A153" s="945"/>
      <c r="B153" s="903"/>
      <c r="C153" s="910" t="str">
        <f>IF(Volume_Variance_net.revenue&gt;=0,"favorable","unfavorable")</f>
        <v>favorable</v>
      </c>
      <c r="D153" s="910" t="str">
        <f>IF(volume.variance.dir.labor&gt;=0,"favorable","unfavorable")</f>
        <v>favorable</v>
      </c>
      <c r="E153" s="910" t="str">
        <f>IF(volume.variance.overhead&gt;=0,"unfavorable","favorable")</f>
        <v>unfavorable</v>
      </c>
      <c r="F153" s="910" t="str">
        <f>IF(volume.variance.profit&gt;=0,"favorable","unfavorable")</f>
        <v>favorable</v>
      </c>
      <c r="H153" s="1028"/>
    </row>
    <row r="154" spans="1:10" x14ac:dyDescent="0.2">
      <c r="A154" s="1067"/>
      <c r="C154" s="1075"/>
      <c r="D154" s="1075"/>
      <c r="E154" s="1075"/>
      <c r="F154" s="1076"/>
      <c r="H154" s="1028"/>
    </row>
    <row r="155" spans="1:10" x14ac:dyDescent="0.2">
      <c r="A155" s="1067" t="s">
        <v>98</v>
      </c>
      <c r="B155" s="877" t="s">
        <v>162</v>
      </c>
      <c r="C155" s="1068">
        <f>+C150+C145</f>
        <v>80.131936734514056</v>
      </c>
      <c r="D155" s="1068">
        <f>+D150+D145</f>
        <v>31.688117014714955</v>
      </c>
      <c r="E155" s="1068">
        <f>+E150+E145</f>
        <v>46.301882104150138</v>
      </c>
      <c r="F155" s="1068">
        <f>+F150+F145</f>
        <v>2.1419376156489598</v>
      </c>
      <c r="H155" s="1028"/>
      <c r="J155" s="1077"/>
    </row>
    <row r="156" spans="1:10" x14ac:dyDescent="0.2">
      <c r="A156" s="950" t="s">
        <v>100</v>
      </c>
      <c r="B156" s="896" t="s">
        <v>163</v>
      </c>
      <c r="C156" s="1073">
        <f>+C152+C147</f>
        <v>-246826.33941924167</v>
      </c>
      <c r="D156" s="1073">
        <f>+D152+D147</f>
        <v>56475.506000000008</v>
      </c>
      <c r="E156" s="1073">
        <f>+E152+E147</f>
        <v>-141338.08051225872</v>
      </c>
      <c r="F156" s="1073">
        <f>+F152+F147</f>
        <v>-161963.76490698298</v>
      </c>
      <c r="H156" s="1028"/>
    </row>
    <row r="157" spans="1:10" ht="13.5" thickBot="1" x14ac:dyDescent="0.25">
      <c r="A157" s="1078"/>
      <c r="B157" s="1078"/>
      <c r="C157" s="925" t="str">
        <f>IF(Net_Variance_net.rev&gt;=0,"favorable","unfavorable")</f>
        <v>unfavorable</v>
      </c>
      <c r="D157" s="925" t="str">
        <f>IF(net.variance.direct.labor&gt;=0,"favorable","unfavorable")</f>
        <v>favorable</v>
      </c>
      <c r="E157" s="925" t="str">
        <f>IF(overhead.net.variance&gt;=0,"unfavorable","favorable")</f>
        <v>favorable</v>
      </c>
      <c r="F157" s="925" t="str">
        <f>IF(net.variance.profit&gt;=0,"favorable","unfavorable")</f>
        <v>unfavorable</v>
      </c>
    </row>
    <row r="158" spans="1:10" ht="13.5" thickTop="1" x14ac:dyDescent="0.2">
      <c r="A158" s="877"/>
      <c r="C158" s="877"/>
      <c r="D158" s="877"/>
      <c r="E158" s="877"/>
    </row>
    <row r="159" spans="1:10" x14ac:dyDescent="0.2">
      <c r="A159" s="877"/>
      <c r="C159" s="877"/>
      <c r="D159" s="877"/>
      <c r="E159" s="877"/>
    </row>
    <row r="160" spans="1:10" x14ac:dyDescent="0.2">
      <c r="A160" s="877"/>
      <c r="C160" s="877"/>
      <c r="D160" s="877"/>
      <c r="E160" s="877"/>
    </row>
    <row r="161" spans="1:5" x14ac:dyDescent="0.2">
      <c r="A161" s="877"/>
      <c r="C161" s="877"/>
      <c r="D161" s="877"/>
      <c r="E161" s="877"/>
    </row>
    <row r="162" spans="1:5" x14ac:dyDescent="0.2">
      <c r="A162" s="877"/>
      <c r="C162" s="877"/>
      <c r="D162" s="877"/>
      <c r="E162" s="877"/>
    </row>
    <row r="163" spans="1:5" x14ac:dyDescent="0.2">
      <c r="A163" s="877"/>
      <c r="C163" s="877"/>
      <c r="D163" s="877"/>
      <c r="E163" s="877"/>
    </row>
    <row r="164" spans="1:5" x14ac:dyDescent="0.2">
      <c r="A164" s="877"/>
      <c r="C164" s="877"/>
      <c r="D164" s="877"/>
      <c r="E164" s="877"/>
    </row>
    <row r="165" spans="1:5" x14ac:dyDescent="0.2">
      <c r="A165" s="877"/>
      <c r="C165" s="877"/>
      <c r="D165" s="877"/>
      <c r="E165" s="877"/>
    </row>
    <row r="166" spans="1:5" x14ac:dyDescent="0.2">
      <c r="A166" s="877"/>
      <c r="C166" s="877"/>
      <c r="D166" s="877"/>
      <c r="E166" s="877"/>
    </row>
    <row r="167" spans="1:5" x14ac:dyDescent="0.2">
      <c r="A167" s="877"/>
      <c r="C167" s="877"/>
      <c r="D167" s="877"/>
      <c r="E167" s="877"/>
    </row>
  </sheetData>
  <phoneticPr fontId="4" type="noConversion"/>
  <printOptions headings="1"/>
  <pageMargins left="0.75" right="0.75" top="1" bottom="1" header="0.5" footer="0.5"/>
  <pageSetup scale="60" fitToHeight="0" orientation="portrait" blackAndWhite="1" horizontalDpi="300" verticalDpi="300" r:id="rId1"/>
  <headerFooter alignWithMargins="0">
    <oddHeader>&amp;L&amp;"Arial,Regular"&amp;D
&amp;T&amp;C&amp;"Times New Roman,Italic"CAPP * Computer Aided Profit Plan
For Design Firm Financial Control
Executive Summary Analysis of Operations</oddHeader>
    <oddFooter>&amp;L&amp;A&amp;R&amp;P</oddFooter>
  </headerFooter>
  <rowBreaks count="3" manualBreakCount="3">
    <brk id="45" max="12" man="1"/>
    <brk id="95" max="12" man="1"/>
    <brk id="1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5:D35"/>
  <sheetViews>
    <sheetView tabSelected="1" view="pageLayout" topLeftCell="A10" zoomScaleNormal="100" workbookViewId="0">
      <selection activeCell="C20" sqref="C20"/>
    </sheetView>
  </sheetViews>
  <sheetFormatPr defaultRowHeight="12" x14ac:dyDescent="0.15"/>
  <cols>
    <col min="1" max="1" width="2.125" customWidth="1"/>
    <col min="3" max="3" width="63.25" customWidth="1"/>
    <col min="5" max="5" width="6.125" customWidth="1"/>
  </cols>
  <sheetData>
    <row r="5" spans="2:4" ht="12.75" thickBot="1" x14ac:dyDescent="0.2"/>
    <row r="6" spans="2:4" ht="12.75" thickTop="1" x14ac:dyDescent="0.15">
      <c r="B6" s="79"/>
      <c r="C6" s="85"/>
      <c r="D6" s="86"/>
    </row>
    <row r="7" spans="2:4" x14ac:dyDescent="0.15">
      <c r="B7" s="80"/>
      <c r="D7" s="87"/>
    </row>
    <row r="8" spans="2:4" ht="22.5" x14ac:dyDescent="0.3">
      <c r="B8" s="80"/>
      <c r="C8" s="90" t="s">
        <v>1055</v>
      </c>
      <c r="D8" s="87"/>
    </row>
    <row r="9" spans="2:4" ht="14.25" x14ac:dyDescent="0.2">
      <c r="B9" s="80"/>
      <c r="C9" s="84" t="s">
        <v>1056</v>
      </c>
      <c r="D9" s="87"/>
    </row>
    <row r="10" spans="2:4" ht="14.25" x14ac:dyDescent="0.2">
      <c r="B10" s="80"/>
      <c r="C10" s="84" t="s">
        <v>1057</v>
      </c>
      <c r="D10" s="87"/>
    </row>
    <row r="11" spans="2:4" x14ac:dyDescent="0.15">
      <c r="B11" s="80"/>
      <c r="D11" s="87"/>
    </row>
    <row r="12" spans="2:4" ht="12.75" thickBot="1" x14ac:dyDescent="0.2">
      <c r="B12" s="82"/>
      <c r="C12" s="88"/>
      <c r="D12" s="89"/>
    </row>
    <row r="13" spans="2:4" ht="12.75" thickTop="1" x14ac:dyDescent="0.15"/>
    <row r="14" spans="2:4" ht="23.25" x14ac:dyDescent="0.35">
      <c r="C14" s="78" t="s">
        <v>988</v>
      </c>
    </row>
    <row r="15" spans="2:4" ht="18.75" x14ac:dyDescent="0.3">
      <c r="C15" s="129" t="s">
        <v>989</v>
      </c>
    </row>
    <row r="16" spans="2:4" ht="18.75" x14ac:dyDescent="0.3">
      <c r="C16" s="140">
        <v>41274</v>
      </c>
      <c r="D16" s="104"/>
    </row>
    <row r="18" spans="2:4" ht="12.75" thickBot="1" x14ac:dyDescent="0.2"/>
    <row r="19" spans="2:4" x14ac:dyDescent="0.15">
      <c r="B19" s="131"/>
      <c r="C19" s="132"/>
      <c r="D19" s="133"/>
    </row>
    <row r="20" spans="2:4" ht="15.75" x14ac:dyDescent="0.25">
      <c r="B20" s="134"/>
      <c r="D20" s="135" t="s">
        <v>1000</v>
      </c>
    </row>
    <row r="21" spans="2:4" ht="23.25" x14ac:dyDescent="0.35">
      <c r="B21" s="141" t="s">
        <v>1106</v>
      </c>
      <c r="C21" s="874" t="s">
        <v>1107</v>
      </c>
      <c r="D21" s="135">
        <v>26</v>
      </c>
    </row>
    <row r="22" spans="2:4" ht="18.75" x14ac:dyDescent="0.3">
      <c r="B22" s="141" t="s">
        <v>1075</v>
      </c>
      <c r="C22" s="81" t="s">
        <v>990</v>
      </c>
      <c r="D22" s="135">
        <v>27</v>
      </c>
    </row>
    <row r="23" spans="2:4" ht="18.75" x14ac:dyDescent="0.3">
      <c r="B23" s="141" t="s">
        <v>1076</v>
      </c>
      <c r="C23" s="81" t="s">
        <v>991</v>
      </c>
      <c r="D23" s="135">
        <v>28</v>
      </c>
    </row>
    <row r="24" spans="2:4" ht="18.75" x14ac:dyDescent="0.3">
      <c r="B24" s="141" t="s">
        <v>1077</v>
      </c>
      <c r="C24" s="81" t="s">
        <v>992</v>
      </c>
      <c r="D24" s="135">
        <v>29</v>
      </c>
    </row>
    <row r="25" spans="2:4" ht="18.75" x14ac:dyDescent="0.3">
      <c r="B25" s="141" t="s">
        <v>1078</v>
      </c>
      <c r="C25" s="81" t="s">
        <v>993</v>
      </c>
      <c r="D25" s="135" t="s">
        <v>1053</v>
      </c>
    </row>
    <row r="26" spans="2:4" ht="18.75" x14ac:dyDescent="0.3">
      <c r="B26" s="141" t="s">
        <v>1079</v>
      </c>
      <c r="C26" s="81" t="s">
        <v>988</v>
      </c>
      <c r="D26" s="135" t="s">
        <v>1054</v>
      </c>
    </row>
    <row r="27" spans="2:4" ht="18.75" x14ac:dyDescent="0.3">
      <c r="B27" s="141" t="s">
        <v>1080</v>
      </c>
      <c r="C27" s="81" t="s">
        <v>994</v>
      </c>
      <c r="D27" s="135">
        <v>43</v>
      </c>
    </row>
    <row r="28" spans="2:4" ht="18.75" x14ac:dyDescent="0.3">
      <c r="B28" s="141" t="s">
        <v>1081</v>
      </c>
      <c r="C28" s="81" t="s">
        <v>75</v>
      </c>
      <c r="D28" s="135">
        <v>44</v>
      </c>
    </row>
    <row r="29" spans="2:4" ht="18.75" x14ac:dyDescent="0.3">
      <c r="B29" s="141" t="s">
        <v>1082</v>
      </c>
      <c r="C29" s="81" t="s">
        <v>995</v>
      </c>
      <c r="D29" s="135">
        <v>45</v>
      </c>
    </row>
    <row r="30" spans="2:4" ht="18.75" x14ac:dyDescent="0.3">
      <c r="B30" s="141" t="s">
        <v>1083</v>
      </c>
      <c r="C30" s="81" t="s">
        <v>996</v>
      </c>
      <c r="D30" s="135">
        <v>46</v>
      </c>
    </row>
    <row r="31" spans="2:4" ht="18.75" x14ac:dyDescent="0.3">
      <c r="B31" s="141" t="s">
        <v>1084</v>
      </c>
      <c r="C31" s="81" t="s">
        <v>997</v>
      </c>
      <c r="D31" s="135" t="s">
        <v>1108</v>
      </c>
    </row>
    <row r="32" spans="2:4" ht="18.75" x14ac:dyDescent="0.3">
      <c r="B32" s="141" t="s">
        <v>1085</v>
      </c>
      <c r="C32" s="81" t="s">
        <v>998</v>
      </c>
      <c r="D32" s="135">
        <v>60</v>
      </c>
    </row>
    <row r="33" spans="2:4" ht="18.75" x14ac:dyDescent="0.3">
      <c r="B33" s="141" t="s">
        <v>1086</v>
      </c>
      <c r="C33" s="81" t="s">
        <v>999</v>
      </c>
      <c r="D33" s="135">
        <v>61</v>
      </c>
    </row>
    <row r="34" spans="2:4" x14ac:dyDescent="0.15">
      <c r="B34" s="134"/>
      <c r="C34" s="4"/>
      <c r="D34" s="136"/>
    </row>
    <row r="35" spans="2:4" ht="12.75" thickBot="1" x14ac:dyDescent="0.2">
      <c r="B35" s="137"/>
      <c r="C35" s="138"/>
      <c r="D35" s="139"/>
    </row>
  </sheetData>
  <printOptions horizontalCentered="1" verticalCentered="1"/>
  <pageMargins left="0.7" right="0.7" top="0.75" bottom="0.75" header="0.3" footer="0.3"/>
  <pageSetup orientation="portrait" r:id="rId1"/>
  <headerFooter>
    <oddHeader>&amp;L&amp;D
&amp;T&amp;C&amp;"Times New Roman,Italic"CAPP * Computer Aided Profit Plan
For Design Firm Financial Contorl
Profit Plan</oddHeader>
    <oddFooter>&amp;L&amp;"+,Regular"&amp;Z&amp;F
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D32"/>
  <sheetViews>
    <sheetView showRuler="0" zoomScaleNormal="100" workbookViewId="0">
      <selection activeCell="B10" sqref="B10"/>
    </sheetView>
  </sheetViews>
  <sheetFormatPr defaultRowHeight="12" x14ac:dyDescent="0.15"/>
  <cols>
    <col min="1" max="1" width="38.25" style="767" bestFit="1" customWidth="1"/>
    <col min="2" max="2" width="13.375" style="767" customWidth="1"/>
    <col min="3" max="3" width="8.625" style="767" customWidth="1"/>
    <col min="4" max="5" width="9" style="767"/>
    <col min="6" max="6" width="19.125" style="767" bestFit="1" customWidth="1"/>
    <col min="7" max="7" width="13" style="767" bestFit="1" customWidth="1"/>
    <col min="8" max="16384" width="9" style="767"/>
  </cols>
  <sheetData>
    <row r="4" spans="1:4" ht="12.75" x14ac:dyDescent="0.2">
      <c r="A4" s="168" t="s">
        <v>187</v>
      </c>
      <c r="B4" s="420"/>
      <c r="C4" s="420"/>
    </row>
    <row r="5" spans="1:4" ht="12.75" x14ac:dyDescent="0.2">
      <c r="A5" s="168" t="s">
        <v>1002</v>
      </c>
      <c r="B5" s="420" t="s">
        <v>186</v>
      </c>
      <c r="C5" s="420" t="s">
        <v>185</v>
      </c>
    </row>
    <row r="6" spans="1:4" ht="12.75" x14ac:dyDescent="0.2">
      <c r="A6" s="168"/>
      <c r="B6" s="420" t="s">
        <v>51</v>
      </c>
      <c r="C6" s="420" t="s">
        <v>61</v>
      </c>
    </row>
    <row r="7" spans="1:4" ht="13.5" thickBot="1" x14ac:dyDescent="0.25">
      <c r="A7" s="168"/>
      <c r="B7" s="420" t="s">
        <v>184</v>
      </c>
      <c r="C7" s="420" t="s">
        <v>183</v>
      </c>
    </row>
    <row r="8" spans="1:4" ht="12.75" x14ac:dyDescent="0.2">
      <c r="A8" s="768"/>
      <c r="B8" s="768"/>
      <c r="C8" s="768"/>
    </row>
    <row r="9" spans="1:4" ht="13.5" thickBot="1" x14ac:dyDescent="0.25">
      <c r="A9" s="769" t="s">
        <v>182</v>
      </c>
      <c r="B9" s="795">
        <v>100</v>
      </c>
      <c r="C9" s="770">
        <f>Ave_billing_rate_plan</f>
        <v>102.46753716937626</v>
      </c>
    </row>
    <row r="10" spans="1:4" ht="12.75" x14ac:dyDescent="0.2">
      <c r="A10" s="771" t="s">
        <v>32</v>
      </c>
      <c r="B10" s="772">
        <f>+C10</f>
        <v>26.865733250620348</v>
      </c>
      <c r="C10" s="773">
        <f>Ave_direct_labor_rate_plan</f>
        <v>26.865733250620348</v>
      </c>
    </row>
    <row r="11" spans="1:4" ht="13.5" thickBot="1" x14ac:dyDescent="0.25">
      <c r="A11" s="769" t="s">
        <v>181</v>
      </c>
      <c r="B11" s="774">
        <f>+C11</f>
        <v>59.09412801420229</v>
      </c>
      <c r="C11" s="770">
        <f>+Ohead_per_dir_hour</f>
        <v>59.09412801420229</v>
      </c>
    </row>
    <row r="12" spans="1:4" ht="13.5" thickBot="1" x14ac:dyDescent="0.25">
      <c r="A12" s="769" t="s">
        <v>180</v>
      </c>
      <c r="B12" s="774">
        <f>B10+B11</f>
        <v>85.959861264822635</v>
      </c>
      <c r="C12" s="770">
        <f>+Breakeven_per_dir_hour</f>
        <v>85.959861264822635</v>
      </c>
    </row>
    <row r="13" spans="1:4" ht="13.5" thickBot="1" x14ac:dyDescent="0.25">
      <c r="A13" s="775" t="s">
        <v>179</v>
      </c>
      <c r="B13" s="776">
        <f>+B9-B12</f>
        <v>14.040138735177365</v>
      </c>
      <c r="C13" s="777">
        <f>+Operating_profit_per_dir_hour</f>
        <v>16.507675904553597</v>
      </c>
    </row>
    <row r="14" spans="1:4" ht="13.5" thickTop="1" x14ac:dyDescent="0.2">
      <c r="A14" s="771"/>
      <c r="B14" s="778"/>
      <c r="C14" s="779"/>
    </row>
    <row r="15" spans="1:4" ht="12.75" x14ac:dyDescent="0.2">
      <c r="A15" s="771"/>
      <c r="B15" s="778"/>
      <c r="C15" s="779"/>
    </row>
    <row r="16" spans="1:4" ht="12.75" x14ac:dyDescent="0.2">
      <c r="A16" s="771" t="s">
        <v>178</v>
      </c>
      <c r="B16" s="780">
        <f>+B18+B17</f>
        <v>7.0675298504745037</v>
      </c>
      <c r="C16" s="781">
        <f>Total_multiplier_plan</f>
        <v>7.1593768567094545</v>
      </c>
      <c r="D16" s="175"/>
    </row>
    <row r="17" spans="1:3" ht="13.5" thickBot="1" x14ac:dyDescent="0.25">
      <c r="A17" s="769" t="s">
        <v>177</v>
      </c>
      <c r="B17" s="782">
        <f>+C17</f>
        <v>3.3453161640979769</v>
      </c>
      <c r="C17" s="783">
        <f>C16-C18</f>
        <v>3.3453161640979769</v>
      </c>
    </row>
    <row r="18" spans="1:3" ht="13.5" thickBot="1" x14ac:dyDescent="0.25">
      <c r="A18" s="769" t="s">
        <v>176</v>
      </c>
      <c r="B18" s="782">
        <f>+B9/B10</f>
        <v>3.7222136863765267</v>
      </c>
      <c r="C18" s="783">
        <f>Net_multiplier_plan</f>
        <v>3.8140606926114775</v>
      </c>
    </row>
    <row r="19" spans="1:3" ht="12.75" x14ac:dyDescent="0.2">
      <c r="A19" s="784" t="s">
        <v>37</v>
      </c>
      <c r="B19" s="785">
        <f>+C19</f>
        <v>1</v>
      </c>
      <c r="C19" s="786">
        <f>+Direct_labor_mult</f>
        <v>1</v>
      </c>
    </row>
    <row r="20" spans="1:3" ht="13.5" thickBot="1" x14ac:dyDescent="0.25">
      <c r="A20" s="769" t="s">
        <v>175</v>
      </c>
      <c r="B20" s="782">
        <f>+B11/B10</f>
        <v>2.1996097207895029</v>
      </c>
      <c r="C20" s="783">
        <f>Overhead_rate_plan</f>
        <v>2.1996097207895029</v>
      </c>
    </row>
    <row r="21" spans="1:3" ht="13.5" thickBot="1" x14ac:dyDescent="0.25">
      <c r="A21" s="769" t="s">
        <v>174</v>
      </c>
      <c r="B21" s="782">
        <f>+B20+B19</f>
        <v>3.1996097207895029</v>
      </c>
      <c r="C21" s="783">
        <f>+Breakeven_mult</f>
        <v>3.1996097207895029</v>
      </c>
    </row>
    <row r="22" spans="1:3" ht="13.5" thickBot="1" x14ac:dyDescent="0.25">
      <c r="A22" s="775" t="s">
        <v>173</v>
      </c>
      <c r="B22" s="787">
        <f>+B18-B21</f>
        <v>0.52260396558702382</v>
      </c>
      <c r="C22" s="788">
        <f>Operating_profit_multiple_of_direct_labor</f>
        <v>0.61445097182197417</v>
      </c>
    </row>
    <row r="23" spans="1:3" ht="12.75" thickTop="1" x14ac:dyDescent="0.15">
      <c r="B23" s="789"/>
      <c r="C23" s="790"/>
    </row>
    <row r="24" spans="1:3" ht="12.75" x14ac:dyDescent="0.2">
      <c r="A24" s="771" t="s">
        <v>172</v>
      </c>
      <c r="B24" s="780">
        <f>+B26/B25</f>
        <v>2.9192688680292327</v>
      </c>
      <c r="C24" s="781">
        <f>+'Tab 23 PlanAnalysis'!F15</f>
        <v>2.9913029124218835</v>
      </c>
    </row>
    <row r="25" spans="1:3" ht="13.5" thickBot="1" x14ac:dyDescent="0.25">
      <c r="A25" s="769" t="s">
        <v>171</v>
      </c>
      <c r="B25" s="782">
        <f>+C25</f>
        <v>1.2750499712927619</v>
      </c>
      <c r="C25" s="783">
        <f>DPE_factor_plan</f>
        <v>1.2750499712927619</v>
      </c>
    </row>
    <row r="26" spans="1:3" ht="18" customHeight="1" thickBot="1" x14ac:dyDescent="0.25">
      <c r="A26" s="775" t="s">
        <v>43</v>
      </c>
      <c r="B26" s="787">
        <f>+B18</f>
        <v>3.7222136863765267</v>
      </c>
      <c r="C26" s="788">
        <f>C24*C25</f>
        <v>3.8140606926114775</v>
      </c>
    </row>
    <row r="27" spans="1:3" ht="11.25" customHeight="1" thickTop="1" x14ac:dyDescent="0.2">
      <c r="A27" s="771"/>
      <c r="B27" s="778"/>
      <c r="C27" s="779"/>
    </row>
    <row r="28" spans="1:3" ht="16.5" customHeight="1" x14ac:dyDescent="0.2">
      <c r="A28" s="771"/>
      <c r="B28" s="778"/>
      <c r="C28" s="779"/>
    </row>
    <row r="29" spans="1:3" ht="11.25" customHeight="1" thickBot="1" x14ac:dyDescent="0.25">
      <c r="A29" s="775" t="s">
        <v>170</v>
      </c>
      <c r="B29" s="791">
        <f>+B13/B9</f>
        <v>0.14040138735177365</v>
      </c>
      <c r="C29" s="792">
        <f>+'Tab-22 ProfitPlan'!H322</f>
        <v>0.16110151917935558</v>
      </c>
    </row>
    <row r="30" spans="1:3" ht="13.5" thickTop="1" x14ac:dyDescent="0.2">
      <c r="A30" s="771"/>
      <c r="B30" s="793"/>
      <c r="C30" s="794"/>
    </row>
    <row r="31" spans="1:3" ht="13.5" thickBot="1" x14ac:dyDescent="0.25">
      <c r="A31" s="775" t="s">
        <v>169</v>
      </c>
      <c r="B31" s="792">
        <f>+B22/B16</f>
        <v>7.3944359152856909E-2</v>
      </c>
      <c r="C31" s="792">
        <f>Operating_profit_percentage_of_total_revenue</f>
        <v>8.5824644256034338E-2</v>
      </c>
    </row>
    <row r="32" spans="1:3" ht="12.75" thickTop="1" x14ac:dyDescent="0.15"/>
  </sheetData>
  <printOptions horizontalCentered="1" verticalCentered="1" headings="1"/>
  <pageMargins left="1" right="1" top="1" bottom="1" header="0.5" footer="0.5"/>
  <pageSetup orientation="portrait" blackAndWhite="1" horizontalDpi="300" verticalDpi="300" r:id="rId1"/>
  <headerFooter>
    <oddHeader>&amp;L&amp;D
&amp;T&amp;C&amp;"Times New Roman,Italic"CAPP * Computer Aided Profit Plan
For Design Firm Financial Contorl
Profit Plan</oddHeader>
    <oddFooter>&amp;L&amp;A&amp;R&amp;P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8"/>
  <sheetViews>
    <sheetView zoomScaleNormal="100" workbookViewId="0">
      <selection activeCell="F15" sqref="F15"/>
    </sheetView>
  </sheetViews>
  <sheetFormatPr defaultRowHeight="12.75" x14ac:dyDescent="0.2"/>
  <cols>
    <col min="1" max="1" width="33.25" style="2" customWidth="1"/>
    <col min="2" max="2" width="8.625" style="2" customWidth="1"/>
    <col min="3" max="3" width="9.625" style="2" customWidth="1"/>
    <col min="4" max="16384" width="9" style="2"/>
  </cols>
  <sheetData>
    <row r="1" spans="1:13" x14ac:dyDescent="0.2">
      <c r="D1" s="59"/>
      <c r="E1" s="59"/>
      <c r="F1" s="59"/>
      <c r="G1" s="59"/>
    </row>
    <row r="2" spans="1:13" x14ac:dyDescent="0.2">
      <c r="D2" s="424"/>
      <c r="E2" s="424"/>
      <c r="F2" s="424"/>
      <c r="G2" s="424"/>
      <c r="H2" s="424"/>
      <c r="I2" s="424"/>
      <c r="J2" s="424"/>
    </row>
    <row r="3" spans="1:13" x14ac:dyDescent="0.2">
      <c r="D3" s="218"/>
      <c r="E3" s="218"/>
      <c r="F3" s="218"/>
      <c r="G3" s="218"/>
      <c r="H3" s="218"/>
      <c r="I3" s="218"/>
      <c r="J3" s="218"/>
      <c r="M3" s="9"/>
    </row>
    <row r="4" spans="1:13" ht="13.5" thickBot="1" x14ac:dyDescent="0.25">
      <c r="A4" s="425" t="s">
        <v>747</v>
      </c>
      <c r="B4" s="426" t="s">
        <v>731</v>
      </c>
      <c r="C4" s="427" t="s">
        <v>183</v>
      </c>
      <c r="D4" s="218"/>
      <c r="E4" s="218"/>
      <c r="F4" s="218"/>
      <c r="G4" s="218"/>
      <c r="H4" s="218"/>
      <c r="I4" s="218"/>
      <c r="J4" s="218"/>
    </row>
    <row r="5" spans="1:13" x14ac:dyDescent="0.2">
      <c r="A5" s="428"/>
      <c r="B5" s="429"/>
      <c r="C5" s="429"/>
      <c r="D5" s="218"/>
      <c r="E5" s="218"/>
      <c r="F5" s="218"/>
      <c r="G5" s="218"/>
      <c r="H5" s="218"/>
      <c r="I5" s="218"/>
      <c r="J5" s="218"/>
    </row>
    <row r="6" spans="1:13" x14ac:dyDescent="0.2">
      <c r="A6" s="430" t="s">
        <v>746</v>
      </c>
      <c r="B6" s="796">
        <v>8.0000000000000002E-3</v>
      </c>
      <c r="C6" s="218"/>
      <c r="D6" s="218"/>
      <c r="E6" s="218"/>
      <c r="F6" s="218"/>
      <c r="G6" s="218"/>
      <c r="H6" s="218"/>
      <c r="I6" s="218"/>
      <c r="J6" s="218"/>
    </row>
    <row r="7" spans="1:13" x14ac:dyDescent="0.2">
      <c r="A7" s="430" t="s">
        <v>745</v>
      </c>
      <c r="B7" s="797">
        <v>7000</v>
      </c>
      <c r="C7" s="218"/>
      <c r="D7" s="218"/>
      <c r="E7" s="218"/>
      <c r="F7" s="218"/>
      <c r="G7" s="218"/>
    </row>
    <row r="8" spans="1:13" x14ac:dyDescent="0.2">
      <c r="A8" s="430" t="s">
        <v>744</v>
      </c>
      <c r="B8" s="796">
        <v>2.1299999999999999E-2</v>
      </c>
      <c r="C8" s="218"/>
      <c r="D8" s="218"/>
      <c r="E8" s="218"/>
      <c r="F8" s="218"/>
      <c r="G8" s="218"/>
    </row>
    <row r="9" spans="1:13" x14ac:dyDescent="0.2">
      <c r="A9" s="430" t="s">
        <v>743</v>
      </c>
      <c r="B9" s="797">
        <v>7700</v>
      </c>
      <c r="C9" s="218"/>
      <c r="D9" s="218"/>
      <c r="E9" s="218"/>
      <c r="F9" s="218"/>
      <c r="G9" s="218"/>
    </row>
    <row r="10" spans="1:13" x14ac:dyDescent="0.2">
      <c r="A10" s="430" t="s">
        <v>742</v>
      </c>
      <c r="B10" s="796">
        <v>8.8000000000000005E-3</v>
      </c>
      <c r="C10" s="431"/>
      <c r="D10" s="218"/>
      <c r="E10" s="419"/>
      <c r="F10" s="218"/>
      <c r="G10" s="218"/>
    </row>
    <row r="11" spans="1:13" x14ac:dyDescent="0.2">
      <c r="A11" s="430" t="s">
        <v>741</v>
      </c>
      <c r="B11" s="796">
        <v>0.03</v>
      </c>
      <c r="C11" s="432"/>
      <c r="D11" s="218"/>
      <c r="E11" s="218"/>
      <c r="F11" s="218"/>
      <c r="G11" s="218"/>
    </row>
    <row r="12" spans="1:13" x14ac:dyDescent="0.2">
      <c r="A12" s="430" t="s">
        <v>740</v>
      </c>
      <c r="B12" s="796">
        <v>0.03</v>
      </c>
      <c r="C12" s="218"/>
      <c r="D12" s="218"/>
      <c r="E12" s="218"/>
      <c r="F12" s="218"/>
      <c r="G12" s="218"/>
    </row>
    <row r="13" spans="1:13" x14ac:dyDescent="0.2">
      <c r="A13" s="430" t="s">
        <v>82</v>
      </c>
      <c r="B13" s="797">
        <v>2096</v>
      </c>
      <c r="C13" s="218"/>
      <c r="D13" s="218"/>
      <c r="E13" s="218"/>
      <c r="F13" s="218"/>
      <c r="G13" s="218"/>
    </row>
    <row r="14" spans="1:13" x14ac:dyDescent="0.2">
      <c r="A14" s="430" t="s">
        <v>739</v>
      </c>
      <c r="B14" s="796">
        <v>0.03</v>
      </c>
      <c r="C14" s="218"/>
      <c r="D14" s="218"/>
      <c r="E14" s="218"/>
      <c r="F14" s="218"/>
      <c r="G14" s="218"/>
    </row>
    <row r="15" spans="1:13" x14ac:dyDescent="0.2">
      <c r="A15" s="430" t="s">
        <v>738</v>
      </c>
      <c r="B15" s="798">
        <v>0.5</v>
      </c>
      <c r="C15" s="218"/>
      <c r="D15" s="218"/>
      <c r="E15" s="218"/>
      <c r="F15" s="218"/>
      <c r="G15" s="218"/>
    </row>
    <row r="16" spans="1:13" x14ac:dyDescent="0.2">
      <c r="A16" s="430" t="s">
        <v>737</v>
      </c>
      <c r="B16" s="797">
        <v>110600</v>
      </c>
      <c r="C16" s="218"/>
      <c r="D16" s="175"/>
      <c r="E16" s="218"/>
      <c r="F16" s="218"/>
      <c r="G16" s="218"/>
    </row>
    <row r="17" spans="1:7" x14ac:dyDescent="0.2">
      <c r="A17" s="430" t="s">
        <v>736</v>
      </c>
      <c r="B17" s="796">
        <f>0.124/2</f>
        <v>6.2E-2</v>
      </c>
      <c r="C17" s="218"/>
      <c r="D17" s="218"/>
      <c r="E17" s="218"/>
      <c r="F17" s="218"/>
      <c r="G17" s="218"/>
    </row>
    <row r="18" spans="1:7" x14ac:dyDescent="0.2">
      <c r="A18" s="430" t="s">
        <v>735</v>
      </c>
      <c r="B18" s="797">
        <v>999999</v>
      </c>
      <c r="D18" s="218"/>
      <c r="E18" s="218"/>
      <c r="F18" s="218"/>
      <c r="G18" s="218"/>
    </row>
    <row r="19" spans="1:7" x14ac:dyDescent="0.2">
      <c r="A19" s="430" t="s">
        <v>734</v>
      </c>
      <c r="B19" s="796">
        <f>0.029/2</f>
        <v>1.4500000000000001E-2</v>
      </c>
      <c r="C19" s="433"/>
      <c r="D19" s="218"/>
      <c r="E19" s="218"/>
      <c r="F19" s="218"/>
      <c r="G19" s="218"/>
    </row>
    <row r="20" spans="1:7" x14ac:dyDescent="0.2">
      <c r="A20" s="430" t="s">
        <v>43</v>
      </c>
      <c r="B20" s="434">
        <f>+B21*B22</f>
        <v>3.8140606926114775</v>
      </c>
      <c r="C20" s="435">
        <f>+Net_multiplier_plan</f>
        <v>3.8140606926114775</v>
      </c>
    </row>
    <row r="21" spans="1:7" x14ac:dyDescent="0.2">
      <c r="A21" s="430" t="s">
        <v>171</v>
      </c>
      <c r="B21" s="434">
        <f>+C21</f>
        <v>1.2750499712927619</v>
      </c>
      <c r="C21" s="435">
        <f>+'Tab 23 PlanAnalysis'!F22</f>
        <v>1.2750499712927619</v>
      </c>
    </row>
    <row r="22" spans="1:7" ht="13.5" thickBot="1" x14ac:dyDescent="0.25">
      <c r="A22" s="436" t="s">
        <v>172</v>
      </c>
      <c r="B22" s="437">
        <f>+C22</f>
        <v>2.9913029124218835</v>
      </c>
      <c r="C22" s="438">
        <f xml:space="preserve">  C20/C21</f>
        <v>2.9913029124218835</v>
      </c>
    </row>
    <row r="23" spans="1:7" ht="13.5" thickTop="1" x14ac:dyDescent="0.2"/>
    <row r="24" spans="1:7" x14ac:dyDescent="0.2">
      <c r="A24" s="188" t="s">
        <v>733</v>
      </c>
      <c r="B24" s="164"/>
    </row>
    <row r="25" spans="1:7" ht="13.5" thickBot="1" x14ac:dyDescent="0.25">
      <c r="A25" s="163" t="s">
        <v>732</v>
      </c>
      <c r="B25" s="439" t="s">
        <v>731</v>
      </c>
      <c r="C25" s="439"/>
    </row>
    <row r="26" spans="1:7" x14ac:dyDescent="0.2">
      <c r="A26" s="167" t="s">
        <v>730</v>
      </c>
      <c r="B26" s="799">
        <v>1</v>
      </c>
      <c r="C26" s="184"/>
    </row>
    <row r="27" spans="1:7" ht="13.5" thickBot="1" x14ac:dyDescent="0.25">
      <c r="A27" s="421" t="s">
        <v>729</v>
      </c>
      <c r="B27" s="800">
        <v>1</v>
      </c>
      <c r="C27" s="440"/>
    </row>
    <row r="28" spans="1:7" ht="13.5" thickTop="1" x14ac:dyDescent="0.2"/>
  </sheetData>
  <printOptions horizontalCentered="1" verticalCentered="1" headings="1"/>
  <pageMargins left="1" right="1" top="1" bottom="1" header="0.5" footer="0.5"/>
  <pageSetup orientation="portrait" blackAndWhite="1" horizontalDpi="300" verticalDpi="300" r:id="rId1"/>
  <headerFooter>
    <oddHeader>&amp;L&amp;D
&amp;T&amp;C&amp;"Times New Roman,Italic"CAPP * Computer Aided Profit Plan
For Design Firm Financial Contorl
Profit Plan</oddHeader>
    <oddFooter>&amp;L&amp;A&amp;R&amp;P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E24"/>
  <sheetViews>
    <sheetView zoomScaleNormal="100" workbookViewId="0">
      <selection activeCell="F30" sqref="F30"/>
    </sheetView>
  </sheetViews>
  <sheetFormatPr defaultRowHeight="12.75" x14ac:dyDescent="0.2"/>
  <cols>
    <col min="1" max="1" width="6.5" style="560" customWidth="1"/>
    <col min="2" max="2" width="31.25" style="560" bestFit="1" customWidth="1"/>
    <col min="3" max="3" width="11.25" style="811" customWidth="1"/>
    <col min="4" max="4" width="10.375" style="560" bestFit="1" customWidth="1"/>
    <col min="5" max="16384" width="9" style="560"/>
  </cols>
  <sheetData>
    <row r="3" spans="1:5" x14ac:dyDescent="0.2">
      <c r="A3" s="560" t="s">
        <v>703</v>
      </c>
      <c r="B3" s="771" t="s">
        <v>982</v>
      </c>
      <c r="C3" s="441"/>
      <c r="D3" s="420" t="s">
        <v>217</v>
      </c>
      <c r="E3" s="442"/>
    </row>
    <row r="4" spans="1:5" ht="13.5" thickBot="1" x14ac:dyDescent="0.25">
      <c r="A4" s="801" t="s">
        <v>702</v>
      </c>
      <c r="B4" s="443" t="s">
        <v>685</v>
      </c>
      <c r="C4" s="444" t="s">
        <v>701</v>
      </c>
      <c r="D4" s="439" t="s">
        <v>700</v>
      </c>
      <c r="E4" s="439" t="s">
        <v>699</v>
      </c>
    </row>
    <row r="5" spans="1:5" x14ac:dyDescent="0.2">
      <c r="B5" s="445" t="s">
        <v>231</v>
      </c>
      <c r="C5" s="802">
        <f>+D5*E5</f>
        <v>188280</v>
      </c>
      <c r="D5" s="816">
        <v>251.04</v>
      </c>
      <c r="E5" s="817">
        <v>750</v>
      </c>
    </row>
    <row r="6" spans="1:5" x14ac:dyDescent="0.2">
      <c r="B6" s="445" t="s">
        <v>698</v>
      </c>
      <c r="C6" s="821">
        <f>+D6*E6</f>
        <v>0</v>
      </c>
      <c r="D6" s="816">
        <v>0</v>
      </c>
      <c r="E6" s="817">
        <v>750</v>
      </c>
    </row>
    <row r="7" spans="1:5" x14ac:dyDescent="0.2">
      <c r="A7" s="445" t="s">
        <v>241</v>
      </c>
      <c r="B7" s="771" t="s">
        <v>697</v>
      </c>
      <c r="C7" s="802">
        <f>+'Tab-21 Labor Budget'!BK38</f>
        <v>37408.201291730758</v>
      </c>
      <c r="D7" s="803"/>
    </row>
    <row r="8" spans="1:5" x14ac:dyDescent="0.2">
      <c r="A8" s="445" t="s">
        <v>243</v>
      </c>
      <c r="B8" s="771" t="s">
        <v>696</v>
      </c>
      <c r="C8" s="802">
        <f>+'Tab-21 Labor Budget'!BC38</f>
        <v>2646.1350379060968</v>
      </c>
    </row>
    <row r="9" spans="1:5" x14ac:dyDescent="0.2">
      <c r="A9" s="445" t="s">
        <v>239</v>
      </c>
      <c r="B9" s="771" t="s">
        <v>695</v>
      </c>
      <c r="C9" s="802">
        <f>+'Tab-21 Labor Budget'!BJ38</f>
        <v>38530.44733048269</v>
      </c>
      <c r="D9" s="803"/>
    </row>
    <row r="10" spans="1:5" ht="13.5" thickBot="1" x14ac:dyDescent="0.25">
      <c r="A10" s="447" t="s">
        <v>235</v>
      </c>
      <c r="B10" s="771" t="s">
        <v>694</v>
      </c>
      <c r="C10" s="802">
        <f>+Total_federal_and_state_income_tax_provision</f>
        <v>105845.44615384613</v>
      </c>
    </row>
    <row r="11" spans="1:5" x14ac:dyDescent="0.2">
      <c r="B11" s="768"/>
      <c r="C11" s="804"/>
      <c r="D11" s="768"/>
      <c r="E11" s="768"/>
    </row>
    <row r="12" spans="1:5" ht="13.5" thickBot="1" x14ac:dyDescent="0.25">
      <c r="A12" s="801"/>
      <c r="B12" s="168" t="s">
        <v>693</v>
      </c>
      <c r="C12" s="805">
        <f>SUM(C5:C10)</f>
        <v>372710.22981396562</v>
      </c>
      <c r="D12" s="801"/>
      <c r="E12" s="801"/>
    </row>
    <row r="13" spans="1:5" x14ac:dyDescent="0.2">
      <c r="A13" s="806"/>
      <c r="B13" s="807"/>
      <c r="C13" s="808"/>
    </row>
    <row r="14" spans="1:5" ht="13.5" thickBot="1" x14ac:dyDescent="0.25">
      <c r="A14" s="801"/>
      <c r="B14" s="443" t="s">
        <v>692</v>
      </c>
      <c r="C14" s="809"/>
      <c r="D14" s="801"/>
      <c r="E14" s="801"/>
    </row>
    <row r="15" spans="1:5" x14ac:dyDescent="0.2">
      <c r="A15" s="810"/>
      <c r="B15" s="445"/>
      <c r="C15" s="818">
        <v>0</v>
      </c>
      <c r="D15" s="810"/>
      <c r="E15" s="810"/>
    </row>
    <row r="16" spans="1:5" x14ac:dyDescent="0.2">
      <c r="A16" s="445" t="s">
        <v>255</v>
      </c>
      <c r="B16" s="445" t="s">
        <v>691</v>
      </c>
      <c r="C16" s="819">
        <v>165</v>
      </c>
    </row>
    <row r="17" spans="1:5" x14ac:dyDescent="0.2">
      <c r="A17" s="445" t="s">
        <v>690</v>
      </c>
      <c r="B17" s="445" t="s">
        <v>689</v>
      </c>
      <c r="C17" s="819">
        <v>0</v>
      </c>
    </row>
    <row r="18" spans="1:5" x14ac:dyDescent="0.2">
      <c r="A18" s="445" t="s">
        <v>251</v>
      </c>
      <c r="B18" s="445" t="s">
        <v>688</v>
      </c>
      <c r="C18" s="819">
        <v>0</v>
      </c>
    </row>
    <row r="19" spans="1:5" ht="13.5" thickBot="1" x14ac:dyDescent="0.25">
      <c r="A19" s="447" t="s">
        <v>249</v>
      </c>
      <c r="B19" s="447" t="s">
        <v>687</v>
      </c>
      <c r="C19" s="820">
        <v>0</v>
      </c>
      <c r="D19" s="801"/>
      <c r="E19" s="801"/>
    </row>
    <row r="20" spans="1:5" x14ac:dyDescent="0.2">
      <c r="A20" s="771"/>
    </row>
    <row r="21" spans="1:5" ht="13.5" thickBot="1" x14ac:dyDescent="0.25">
      <c r="A21" s="771"/>
      <c r="B21" s="771" t="s">
        <v>686</v>
      </c>
      <c r="C21" s="453">
        <f>SUM(C14:C20)</f>
        <v>165</v>
      </c>
      <c r="D21" s="801"/>
      <c r="E21" s="801"/>
    </row>
    <row r="22" spans="1:5" x14ac:dyDescent="0.2">
      <c r="A22" s="768"/>
      <c r="B22" s="768"/>
      <c r="C22" s="804"/>
    </row>
    <row r="23" spans="1:5" ht="13.5" thickBot="1" x14ac:dyDescent="0.25">
      <c r="A23" s="812"/>
      <c r="B23" s="170" t="s">
        <v>685</v>
      </c>
      <c r="C23" s="454">
        <f>C12-C21</f>
        <v>372545.22981396562</v>
      </c>
      <c r="D23" s="812"/>
      <c r="E23" s="812"/>
    </row>
    <row r="24" spans="1:5" ht="13.5" thickTop="1" x14ac:dyDescent="0.2"/>
  </sheetData>
  <printOptions horizontalCentered="1" verticalCentered="1" headings="1"/>
  <pageMargins left="0.7" right="0.7" top="0.75" bottom="0.75" header="0.3" footer="0.3"/>
  <pageSetup orientation="portrait" blackAndWhite="1" horizontalDpi="300" verticalDpi="300" r:id="rId1"/>
  <headerFooter>
    <oddHeader>&amp;L&amp;D
&amp;T&amp;C&amp;"Times New Roman,Italic"CAPP * Computer Aided Profit Plan
For Design Firm Financial Contorl
Profit Plan</oddHeader>
    <oddFooter>&amp;L&amp;A&amp;R&amp;P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K43"/>
  <sheetViews>
    <sheetView topLeftCell="T1" zoomScaleNormal="100" workbookViewId="0">
      <selection activeCell="T41" sqref="T41"/>
    </sheetView>
  </sheetViews>
  <sheetFormatPr defaultColWidth="10.625" defaultRowHeight="12.75" x14ac:dyDescent="0.2"/>
  <cols>
    <col min="1" max="1" width="6.25" style="5" customWidth="1"/>
    <col min="2" max="2" width="9.375" style="2" customWidth="1"/>
    <col min="3" max="3" width="3.75" style="2" customWidth="1"/>
    <col min="4" max="4" width="11" style="2" customWidth="1"/>
    <col min="5" max="5" width="11.25" style="2" bestFit="1" customWidth="1"/>
    <col min="6" max="6" width="9" style="2" customWidth="1"/>
    <col min="7" max="7" width="9.5" style="2" customWidth="1"/>
    <col min="8" max="8" width="10" style="2" customWidth="1"/>
    <col min="9" max="9" width="9.625" style="2" customWidth="1"/>
    <col min="10" max="10" width="8" style="2" customWidth="1"/>
    <col min="11" max="11" width="11.125" style="2" customWidth="1"/>
    <col min="12" max="12" width="7.5" style="2" customWidth="1"/>
    <col min="13" max="13" width="10.625" style="2" customWidth="1"/>
    <col min="14" max="14" width="9.25" style="2" customWidth="1"/>
    <col min="15" max="16" width="7.5" style="2" customWidth="1"/>
    <col min="17" max="17" width="7.75" style="13" bestFit="1" customWidth="1"/>
    <col min="18" max="18" width="8.125" style="2" customWidth="1"/>
    <col min="19" max="19" width="8.875" style="2" customWidth="1"/>
    <col min="20" max="20" width="8.75" style="2" customWidth="1"/>
    <col min="21" max="21" width="6.625" style="2" customWidth="1"/>
    <col min="22" max="22" width="7" style="2" customWidth="1"/>
    <col min="23" max="23" width="8.25" style="8" customWidth="1"/>
    <col min="24" max="24" width="8.75" style="8" customWidth="1"/>
    <col min="25" max="25" width="8.375" style="8" customWidth="1"/>
    <col min="26" max="26" width="8.375" style="2" customWidth="1"/>
    <col min="27" max="27" width="5.5" style="2" customWidth="1"/>
    <col min="28" max="28" width="8.25" style="2" customWidth="1"/>
    <col min="29" max="29" width="7" style="2" customWidth="1"/>
    <col min="30" max="30" width="6.625" style="2" customWidth="1"/>
    <col min="31" max="31" width="7.5" style="2" customWidth="1"/>
    <col min="32" max="32" width="7.125" style="2" customWidth="1"/>
    <col min="33" max="33" width="7.25" style="2" customWidth="1"/>
    <col min="34" max="34" width="6.875" style="2" customWidth="1"/>
    <col min="35" max="35" width="7.75" style="2" customWidth="1"/>
    <col min="36" max="36" width="6.5" style="2" customWidth="1"/>
    <col min="37" max="37" width="8" style="2" customWidth="1"/>
    <col min="38" max="38" width="10.5" style="9" customWidth="1"/>
    <col min="39" max="39" width="7.625" style="9" customWidth="1"/>
    <col min="40" max="40" width="9.5" style="40" customWidth="1"/>
    <col min="41" max="41" width="8.375" style="9" customWidth="1"/>
    <col min="42" max="42" width="8.25" style="2" customWidth="1"/>
    <col min="43" max="43" width="7.5" style="2" customWidth="1"/>
    <col min="44" max="44" width="8" style="2" customWidth="1"/>
    <col min="45" max="45" width="7" style="2" customWidth="1"/>
    <col min="46" max="46" width="8.625" style="2" customWidth="1"/>
    <col min="47" max="47" width="7.125" style="2" customWidth="1"/>
    <col min="48" max="48" width="7.25" style="2" customWidth="1"/>
    <col min="49" max="49" width="6.375" style="2" customWidth="1"/>
    <col min="50" max="50" width="9.375" style="40" customWidth="1"/>
    <col min="51" max="51" width="7.25" style="2" customWidth="1"/>
    <col min="52" max="52" width="9.625" style="2" customWidth="1"/>
    <col min="53" max="54" width="7.625" style="2" customWidth="1"/>
    <col min="55" max="55" width="7" style="2" customWidth="1"/>
    <col min="56" max="56" width="6.625" style="2" customWidth="1"/>
    <col min="57" max="58" width="6.875" style="2" customWidth="1"/>
    <col min="59" max="59" width="8.75" style="10" customWidth="1"/>
    <col min="60" max="60" width="10.875" style="10" customWidth="1"/>
    <col min="61" max="61" width="7.125" style="2" customWidth="1"/>
    <col min="62" max="62" width="8.625" style="2" customWidth="1"/>
    <col min="63" max="63" width="7.875" style="2" customWidth="1"/>
    <col min="64" max="16384" width="10.625" style="2"/>
  </cols>
  <sheetData>
    <row r="1" spans="1:63" x14ac:dyDescent="0.2">
      <c r="A1" s="6" t="s">
        <v>993</v>
      </c>
      <c r="Q1" s="7"/>
    </row>
    <row r="2" spans="1:63" x14ac:dyDescent="0.2">
      <c r="A2" s="6" t="s">
        <v>684</v>
      </c>
      <c r="T2" s="11"/>
    </row>
    <row r="3" spans="1:63" x14ac:dyDescent="0.2">
      <c r="A3" s="83" t="s">
        <v>1003</v>
      </c>
    </row>
    <row r="4" spans="1:63" s="56" customFormat="1" x14ac:dyDescent="0.2">
      <c r="A4" s="50"/>
      <c r="B4" s="51"/>
      <c r="C4" s="51"/>
      <c r="D4" s="51"/>
      <c r="E4" s="123"/>
      <c r="F4" s="123"/>
      <c r="G4" s="123"/>
      <c r="H4" s="123"/>
      <c r="I4" s="123"/>
      <c r="J4" s="123"/>
      <c r="K4" s="122" t="s">
        <v>53</v>
      </c>
      <c r="L4" s="51"/>
      <c r="M4" s="51"/>
      <c r="N4" s="122" t="s">
        <v>1049</v>
      </c>
      <c r="O4" s="120"/>
      <c r="P4" s="120"/>
      <c r="Q4" s="57"/>
      <c r="R4" s="120"/>
      <c r="S4" s="51"/>
      <c r="T4" s="51"/>
      <c r="U4" s="51"/>
      <c r="V4" s="51"/>
      <c r="W4" s="52"/>
      <c r="X4" s="52"/>
      <c r="Y4" s="52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3"/>
      <c r="AM4" s="53"/>
      <c r="AN4" s="54"/>
      <c r="AO4" s="53"/>
      <c r="AP4" s="51"/>
      <c r="AQ4" s="51"/>
      <c r="AR4" s="51"/>
      <c r="AS4" s="51"/>
      <c r="AT4" s="51"/>
      <c r="AU4" s="51"/>
      <c r="AV4" s="51"/>
      <c r="AW4" s="51"/>
      <c r="AX4" s="54"/>
      <c r="AY4" s="51"/>
      <c r="AZ4" s="51"/>
      <c r="BA4" s="51"/>
      <c r="BB4" s="51"/>
      <c r="BC4" s="51"/>
      <c r="BD4" s="51"/>
      <c r="BE4" s="51"/>
      <c r="BF4" s="51"/>
      <c r="BG4" s="55"/>
      <c r="BH4" s="55"/>
      <c r="BI4" s="51"/>
      <c r="BJ4" s="51"/>
      <c r="BK4" s="51"/>
    </row>
    <row r="5" spans="1:63" s="59" customFormat="1" x14ac:dyDescent="0.2">
      <c r="A5" s="58"/>
      <c r="E5" s="35" t="s">
        <v>53</v>
      </c>
      <c r="F5" s="35"/>
      <c r="G5" s="12" t="s">
        <v>183</v>
      </c>
      <c r="H5" s="12">
        <v>2012</v>
      </c>
      <c r="I5" s="12">
        <v>2011</v>
      </c>
      <c r="J5" s="12">
        <v>2010</v>
      </c>
      <c r="K5" s="35" t="s">
        <v>974</v>
      </c>
      <c r="L5" s="60" t="s">
        <v>681</v>
      </c>
      <c r="M5" s="120"/>
      <c r="N5" s="122" t="s">
        <v>62</v>
      </c>
      <c r="O5" s="120" t="s">
        <v>224</v>
      </c>
      <c r="P5" s="120" t="s">
        <v>224</v>
      </c>
      <c r="Q5" s="57" t="s">
        <v>683</v>
      </c>
      <c r="R5" s="120" t="s">
        <v>185</v>
      </c>
      <c r="U5" s="12" t="s">
        <v>671</v>
      </c>
      <c r="V5" s="12" t="s">
        <v>671</v>
      </c>
      <c r="W5" s="61" t="s">
        <v>680</v>
      </c>
      <c r="X5" s="61" t="s">
        <v>679</v>
      </c>
      <c r="Y5" s="61" t="s">
        <v>678</v>
      </c>
      <c r="Z5" s="35" t="s">
        <v>627</v>
      </c>
      <c r="AA5" s="12"/>
      <c r="AB5" s="12"/>
      <c r="AC5" s="12"/>
      <c r="AD5" s="12" t="s">
        <v>654</v>
      </c>
      <c r="AE5" s="12" t="s">
        <v>671</v>
      </c>
      <c r="AF5" s="12"/>
      <c r="AG5" s="12" t="s">
        <v>652</v>
      </c>
      <c r="AH5" s="12"/>
      <c r="AI5" s="12"/>
      <c r="AJ5" s="12" t="s">
        <v>671</v>
      </c>
      <c r="AK5" s="12" t="s">
        <v>651</v>
      </c>
      <c r="AL5" s="62" t="s">
        <v>185</v>
      </c>
      <c r="AM5" s="62" t="s">
        <v>671</v>
      </c>
      <c r="AN5" s="63"/>
      <c r="AO5" s="64" t="s">
        <v>11</v>
      </c>
      <c r="AP5" s="12" t="s">
        <v>11</v>
      </c>
      <c r="AQ5" s="35" t="s">
        <v>52</v>
      </c>
      <c r="AR5" s="12" t="s">
        <v>652</v>
      </c>
      <c r="AS5" s="12" t="s">
        <v>652</v>
      </c>
      <c r="AT5" s="12" t="s">
        <v>969</v>
      </c>
      <c r="AX5" s="63"/>
      <c r="AZ5" s="35" t="s">
        <v>52</v>
      </c>
      <c r="BB5" s="12" t="s">
        <v>671</v>
      </c>
      <c r="BC5" s="12" t="s">
        <v>634</v>
      </c>
      <c r="BD5" s="12" t="s">
        <v>671</v>
      </c>
      <c r="BE5" s="12" t="s">
        <v>671</v>
      </c>
      <c r="BG5" s="65" t="s">
        <v>185</v>
      </c>
      <c r="BH5" s="65" t="s">
        <v>627</v>
      </c>
      <c r="BI5" s="35" t="s">
        <v>678</v>
      </c>
      <c r="BJ5" s="12" t="s">
        <v>677</v>
      </c>
    </row>
    <row r="6" spans="1:63" s="59" customFormat="1" x14ac:dyDescent="0.2">
      <c r="A6" s="66" t="s">
        <v>627</v>
      </c>
      <c r="E6" s="35" t="s">
        <v>48</v>
      </c>
      <c r="F6" s="35" t="s">
        <v>144</v>
      </c>
      <c r="G6" s="12" t="s">
        <v>216</v>
      </c>
      <c r="H6" s="12" t="s">
        <v>0</v>
      </c>
      <c r="I6" s="12" t="s">
        <v>0</v>
      </c>
      <c r="J6" s="12" t="s">
        <v>0</v>
      </c>
      <c r="K6" s="124">
        <f>+Net_multiplier_plan</f>
        <v>3.8140606926114775</v>
      </c>
      <c r="L6" s="48" t="s">
        <v>676</v>
      </c>
      <c r="M6" s="120" t="s">
        <v>185</v>
      </c>
      <c r="N6" s="120" t="s">
        <v>676</v>
      </c>
      <c r="O6" s="120" t="s">
        <v>964</v>
      </c>
      <c r="P6" s="120" t="s">
        <v>964</v>
      </c>
      <c r="Q6" s="57" t="s">
        <v>682</v>
      </c>
      <c r="R6" s="120" t="s">
        <v>967</v>
      </c>
      <c r="S6" s="12" t="s">
        <v>632</v>
      </c>
      <c r="T6" s="12" t="s">
        <v>632</v>
      </c>
      <c r="U6" s="12" t="s">
        <v>632</v>
      </c>
      <c r="V6" s="12" t="s">
        <v>633</v>
      </c>
      <c r="W6" s="61" t="s">
        <v>62</v>
      </c>
      <c r="X6" s="61" t="s">
        <v>675</v>
      </c>
      <c r="Y6" s="61" t="s">
        <v>666</v>
      </c>
      <c r="Z6" s="12" t="s">
        <v>970</v>
      </c>
      <c r="AA6" s="38" t="s">
        <v>674</v>
      </c>
      <c r="AB6" s="12" t="s">
        <v>672</v>
      </c>
      <c r="AC6" s="12" t="s">
        <v>654</v>
      </c>
      <c r="AD6" s="12" t="s">
        <v>653</v>
      </c>
      <c r="AE6" s="12" t="s">
        <v>52</v>
      </c>
      <c r="AF6" s="12" t="s">
        <v>652</v>
      </c>
      <c r="AG6" s="12" t="s">
        <v>653</v>
      </c>
      <c r="AH6" s="12" t="s">
        <v>52</v>
      </c>
      <c r="AI6" s="12" t="s">
        <v>52</v>
      </c>
      <c r="AJ6" s="12" t="s">
        <v>52</v>
      </c>
      <c r="AK6" s="12" t="s">
        <v>673</v>
      </c>
      <c r="AL6" s="62" t="s">
        <v>660</v>
      </c>
      <c r="AM6" s="62" t="s">
        <v>671</v>
      </c>
      <c r="AN6" s="67" t="s">
        <v>52</v>
      </c>
      <c r="AO6" s="62" t="s">
        <v>152</v>
      </c>
      <c r="AP6" s="12" t="s">
        <v>653</v>
      </c>
      <c r="AQ6" s="12" t="s">
        <v>654</v>
      </c>
      <c r="AR6" s="12" t="s">
        <v>664</v>
      </c>
      <c r="AS6" s="12" t="s">
        <v>632</v>
      </c>
      <c r="AT6" s="12" t="s">
        <v>52</v>
      </c>
      <c r="AU6" s="12" t="s">
        <v>632</v>
      </c>
      <c r="AV6" s="12" t="s">
        <v>632</v>
      </c>
      <c r="AW6" s="12" t="s">
        <v>632</v>
      </c>
      <c r="AX6" s="67" t="s">
        <v>52</v>
      </c>
      <c r="AY6" s="12" t="s">
        <v>52</v>
      </c>
      <c r="AZ6" s="12" t="s">
        <v>647</v>
      </c>
      <c r="BA6" s="12" t="s">
        <v>671</v>
      </c>
      <c r="BB6" s="12" t="s">
        <v>671</v>
      </c>
      <c r="BC6" s="12" t="s">
        <v>642</v>
      </c>
      <c r="BD6" s="12" t="s">
        <v>670</v>
      </c>
      <c r="BE6" s="12" t="s">
        <v>669</v>
      </c>
      <c r="BF6" s="12" t="s">
        <v>668</v>
      </c>
      <c r="BG6" s="65" t="s">
        <v>667</v>
      </c>
      <c r="BH6" s="65" t="s">
        <v>983</v>
      </c>
      <c r="BI6" s="12" t="s">
        <v>666</v>
      </c>
      <c r="BJ6" s="12" t="s">
        <v>183</v>
      </c>
      <c r="BK6" s="12" t="s">
        <v>665</v>
      </c>
    </row>
    <row r="7" spans="1:63" s="59" customFormat="1" x14ac:dyDescent="0.2">
      <c r="A7" s="66" t="s">
        <v>663</v>
      </c>
      <c r="B7" s="57" t="s">
        <v>617</v>
      </c>
      <c r="C7" s="57" t="s">
        <v>662</v>
      </c>
      <c r="D7" s="57" t="s">
        <v>661</v>
      </c>
      <c r="E7" s="12" t="s">
        <v>975</v>
      </c>
      <c r="F7" s="12" t="s">
        <v>973</v>
      </c>
      <c r="G7" s="12" t="s">
        <v>658</v>
      </c>
      <c r="H7" s="12" t="s">
        <v>658</v>
      </c>
      <c r="I7" s="12" t="s">
        <v>658</v>
      </c>
      <c r="J7" s="12" t="s">
        <v>658</v>
      </c>
      <c r="K7" s="35" t="s">
        <v>972</v>
      </c>
      <c r="L7" s="48" t="s">
        <v>633</v>
      </c>
      <c r="M7" s="121" t="s">
        <v>968</v>
      </c>
      <c r="N7" s="121" t="s">
        <v>633</v>
      </c>
      <c r="O7" s="121" t="s">
        <v>965</v>
      </c>
      <c r="P7" s="121" t="s">
        <v>966</v>
      </c>
      <c r="Q7" s="57" t="s">
        <v>659</v>
      </c>
      <c r="R7" s="121" t="s">
        <v>224</v>
      </c>
      <c r="S7" s="12" t="s">
        <v>646</v>
      </c>
      <c r="T7" s="12" t="s">
        <v>645</v>
      </c>
      <c r="U7" s="12" t="s">
        <v>644</v>
      </c>
      <c r="V7" s="12" t="s">
        <v>657</v>
      </c>
      <c r="W7" s="61" t="s">
        <v>656</v>
      </c>
      <c r="X7" s="61" t="s">
        <v>655</v>
      </c>
      <c r="Y7" s="61" t="s">
        <v>636</v>
      </c>
      <c r="Z7" s="12" t="s">
        <v>971</v>
      </c>
      <c r="AA7" s="12" t="s">
        <v>183</v>
      </c>
      <c r="AB7" s="12" t="s">
        <v>650</v>
      </c>
      <c r="AC7" s="12" t="s">
        <v>653</v>
      </c>
      <c r="AD7" s="12" t="s">
        <v>632</v>
      </c>
      <c r="AE7" s="12" t="s">
        <v>654</v>
      </c>
      <c r="AF7" s="12" t="s">
        <v>653</v>
      </c>
      <c r="AG7" s="12" t="s">
        <v>632</v>
      </c>
      <c r="AH7" s="12" t="s">
        <v>652</v>
      </c>
      <c r="AI7" s="12" t="s">
        <v>651</v>
      </c>
      <c r="AJ7" s="12" t="s">
        <v>632</v>
      </c>
      <c r="AK7" s="12" t="s">
        <v>632</v>
      </c>
      <c r="AL7" s="62" t="s">
        <v>649</v>
      </c>
      <c r="AM7" s="62" t="s">
        <v>648</v>
      </c>
      <c r="AN7" s="67" t="s">
        <v>647</v>
      </c>
      <c r="AO7" s="62" t="s">
        <v>55</v>
      </c>
      <c r="AP7" s="12" t="s">
        <v>55</v>
      </c>
      <c r="AQ7" s="12" t="s">
        <v>632</v>
      </c>
      <c r="AR7" s="12" t="s">
        <v>55</v>
      </c>
      <c r="AS7" s="12" t="s">
        <v>55</v>
      </c>
      <c r="AT7" s="12" t="s">
        <v>55</v>
      </c>
      <c r="AU7" s="12" t="s">
        <v>646</v>
      </c>
      <c r="AV7" s="12" t="s">
        <v>645</v>
      </c>
      <c r="AW7" s="12" t="s">
        <v>644</v>
      </c>
      <c r="AX7" s="67" t="s">
        <v>647</v>
      </c>
      <c r="AY7" s="12" t="s">
        <v>632</v>
      </c>
      <c r="AZ7" s="12" t="s">
        <v>643</v>
      </c>
      <c r="BA7" s="12" t="s">
        <v>642</v>
      </c>
      <c r="BB7" s="12" t="s">
        <v>641</v>
      </c>
      <c r="BC7" s="12" t="s">
        <v>640</v>
      </c>
      <c r="BD7" s="12" t="s">
        <v>639</v>
      </c>
      <c r="BE7" s="12" t="s">
        <v>639</v>
      </c>
      <c r="BF7" s="12" t="s">
        <v>638</v>
      </c>
      <c r="BG7" s="65" t="s">
        <v>637</v>
      </c>
      <c r="BH7" s="65" t="s">
        <v>984</v>
      </c>
      <c r="BI7" s="12" t="s">
        <v>636</v>
      </c>
      <c r="BJ7" s="12" t="s">
        <v>635</v>
      </c>
      <c r="BK7" s="12" t="s">
        <v>634</v>
      </c>
    </row>
    <row r="8" spans="1:63" s="14" customFormat="1" x14ac:dyDescent="0.2">
      <c r="A8" s="47"/>
      <c r="E8" s="56"/>
      <c r="G8" s="56"/>
      <c r="Q8" s="120"/>
      <c r="S8" s="165"/>
      <c r="T8" s="165"/>
      <c r="U8" s="165"/>
      <c r="W8" s="165"/>
      <c r="X8" s="49"/>
      <c r="Y8" s="49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456"/>
      <c r="AM8" s="457"/>
      <c r="AN8" s="456"/>
      <c r="AO8" s="457"/>
      <c r="AP8" s="458"/>
      <c r="AQ8" s="458"/>
      <c r="AR8" s="458"/>
      <c r="AS8" s="458"/>
      <c r="AT8" s="458"/>
      <c r="AU8" s="458"/>
      <c r="AV8" s="458"/>
      <c r="AW8" s="458"/>
      <c r="AX8" s="456"/>
      <c r="AY8" s="458"/>
      <c r="AZ8" s="458"/>
      <c r="BG8" s="459"/>
      <c r="BH8" s="459"/>
    </row>
    <row r="9" spans="1:63" s="14" customFormat="1" x14ac:dyDescent="0.2">
      <c r="A9" s="825" t="s">
        <v>88</v>
      </c>
      <c r="B9" s="826"/>
      <c r="C9" s="826">
        <v>1</v>
      </c>
      <c r="D9" s="826" t="s">
        <v>628</v>
      </c>
      <c r="E9" s="76">
        <f t="shared" ref="E9:E33" si="0">+F9*AB9</f>
        <v>326048.32</v>
      </c>
      <c r="F9" s="822">
        <v>241.16</v>
      </c>
      <c r="G9" s="796">
        <v>0.65</v>
      </c>
      <c r="H9" s="796">
        <v>0.77</v>
      </c>
      <c r="I9" s="796">
        <v>0.75</v>
      </c>
      <c r="J9" s="796">
        <v>0.77</v>
      </c>
      <c r="K9" s="49">
        <f>+$K$6*L9</f>
        <v>76.281067157587529</v>
      </c>
      <c r="L9" s="36">
        <f>+M9/R9</f>
        <v>19.999961538461537</v>
      </c>
      <c r="M9" s="39">
        <f>+N9*24</f>
        <v>41599.919999999998</v>
      </c>
      <c r="N9" s="828">
        <v>1733.33</v>
      </c>
      <c r="O9" s="829">
        <v>8</v>
      </c>
      <c r="P9" s="36">
        <f>+O9*5</f>
        <v>40</v>
      </c>
      <c r="Q9" s="830">
        <v>1</v>
      </c>
      <c r="R9" s="39">
        <f>+P9*52</f>
        <v>2080</v>
      </c>
      <c r="S9" s="814">
        <v>64</v>
      </c>
      <c r="T9" s="814">
        <v>80</v>
      </c>
      <c r="U9" s="814">
        <v>0</v>
      </c>
      <c r="V9" s="796">
        <v>1.4999999999999999E-2</v>
      </c>
      <c r="W9" s="814">
        <v>1084.29</v>
      </c>
      <c r="X9" s="831">
        <v>0</v>
      </c>
      <c r="Y9" s="831">
        <v>65.489999999999995</v>
      </c>
      <c r="Z9" s="832">
        <v>0</v>
      </c>
      <c r="AA9" s="832">
        <v>0</v>
      </c>
      <c r="AB9" s="39">
        <f>+R9*G9</f>
        <v>1352</v>
      </c>
      <c r="AC9" s="39">
        <f t="shared" ref="AC9" si="1">+AI9-AJ9-AB9</f>
        <v>584</v>
      </c>
      <c r="AD9" s="39">
        <f>IF(Q9&gt;0,AJ9,0)</f>
        <v>144</v>
      </c>
      <c r="AE9" s="39">
        <f>+R9</f>
        <v>2080</v>
      </c>
      <c r="AF9" s="39">
        <f t="shared" ref="AF9:AF28" si="2">IF(Q9&gt;0,0,R9)</f>
        <v>0</v>
      </c>
      <c r="AG9" s="39">
        <f>IF(Q9&gt;0,0,AJ9)</f>
        <v>0</v>
      </c>
      <c r="AH9" s="39">
        <f>AF9+AG9</f>
        <v>0</v>
      </c>
      <c r="AI9" s="39">
        <f>AE9+AH9</f>
        <v>2080</v>
      </c>
      <c r="AJ9" s="39">
        <f>S9+T9+U9</f>
        <v>144</v>
      </c>
      <c r="AK9" s="39">
        <f>+AI9-AJ9</f>
        <v>1936</v>
      </c>
      <c r="AL9" s="125">
        <f>+AI9*L9</f>
        <v>41599.919999999998</v>
      </c>
      <c r="AM9" s="462">
        <f>Annual_raise_percentage*No._months_raise_effective*AL9</f>
        <v>623.99879999999996</v>
      </c>
      <c r="AN9" s="125">
        <f>+AL9+AM9</f>
        <v>42223.918799999999</v>
      </c>
      <c r="AO9" s="125">
        <f t="shared" ref="AO9:AO33" si="3">+AB9*L9</f>
        <v>27039.948</v>
      </c>
      <c r="AP9" s="125">
        <f t="shared" ref="AP9:AP28" si="4">+AN9-AO9-AY9</f>
        <v>12303.976338461538</v>
      </c>
      <c r="AQ9" s="125">
        <f t="shared" ref="AQ9:AQ28" si="5">+AY9</f>
        <v>2879.9944615384611</v>
      </c>
      <c r="AR9" s="125">
        <f>IF(Q9=0,AN9-AS9,0)</f>
        <v>0</v>
      </c>
      <c r="AS9" s="125">
        <f>IF(Q9&gt;0,0,AY9)</f>
        <v>0</v>
      </c>
      <c r="AT9" s="125">
        <f>AR9+AS9</f>
        <v>0</v>
      </c>
      <c r="AU9" s="125">
        <f>+L9*S9</f>
        <v>1279.9975384615384</v>
      </c>
      <c r="AV9" s="125">
        <f>+L9*T9</f>
        <v>1599.9969230769229</v>
      </c>
      <c r="AW9" s="125">
        <f>+L9*U9</f>
        <v>0</v>
      </c>
      <c r="AX9" s="125">
        <f>+AO9+AP9+AQ9</f>
        <v>42223.918799999999</v>
      </c>
      <c r="AY9" s="125">
        <f>AU9+AV9+AW9</f>
        <v>2879.9944615384611</v>
      </c>
      <c r="AZ9" s="125">
        <f>AN9-AY9</f>
        <v>39343.92433846154</v>
      </c>
      <c r="BA9" s="39">
        <f>IF(AN8:AN39&lt;Fica_wages,AN8:AN39*Fica_rate,Fica_wages*Fica_rate)</f>
        <v>2617.8829655999998</v>
      </c>
      <c r="BB9" s="39">
        <f>IF(AN8:AN39&lt;Medicare_wages,AN8:AN39*Medicare_rate,Medicare_rate*Medicare_wages)</f>
        <v>612.24682259999997</v>
      </c>
      <c r="BC9" s="39">
        <f>IF(BA9+(BK9*Fica_rate)&lt;Fica_rate*Fica_wages,BK9*Fica_rate,(Fica_rate*Fica_wages)-BA9)+IF(BB9+(BK9*Medicare_rate)&lt;Medicare_rate*Medicare_wages,BK9*Medicare_rate,(Medicare_rate*Medicare_wages)-BB9)</f>
        <v>96.903893646</v>
      </c>
      <c r="BD9" s="39">
        <f>IF(AN9&gt;Federal_unemployment_amount,Federal_unemployment_amount*Federal_unemployment_rate,AN9*Federal_unemployment_rate)</f>
        <v>56</v>
      </c>
      <c r="BE9" s="39">
        <f>IF(AN9&gt;State_unemployment_amount,State_unemployment_amount*State_unemployment_rate,AN9*State_unemployment_rate)</f>
        <v>164.01</v>
      </c>
      <c r="BF9" s="39">
        <f>V8:V39*AN8:AN39</f>
        <v>633.35878200000002</v>
      </c>
      <c r="BG9" s="39">
        <f>+W9*12</f>
        <v>13011.48</v>
      </c>
      <c r="BH9" s="39">
        <f>+X9*-12</f>
        <v>0</v>
      </c>
      <c r="BI9" s="39">
        <f>+Y9*12</f>
        <v>785.87999999999988</v>
      </c>
      <c r="BJ9" s="39">
        <f>(BK8:BK39+AN8:AN39)*Retirement_plan_contribution_percent_of_base_pay</f>
        <v>1304.7190909199999</v>
      </c>
      <c r="BK9" s="39">
        <f>Bonus_percent_of_base_pay*AN9</f>
        <v>1266.717564</v>
      </c>
    </row>
    <row r="10" spans="1:63" s="14" customFormat="1" x14ac:dyDescent="0.2">
      <c r="A10" s="825"/>
      <c r="B10" s="826"/>
      <c r="C10" s="826"/>
      <c r="D10" s="826"/>
      <c r="E10" s="76">
        <f t="shared" si="0"/>
        <v>0</v>
      </c>
      <c r="F10" s="460"/>
      <c r="G10" s="461"/>
      <c r="H10" s="94"/>
      <c r="I10" s="94"/>
      <c r="J10" s="94"/>
      <c r="K10" s="49"/>
      <c r="L10" s="36"/>
      <c r="M10" s="39"/>
      <c r="N10" s="828"/>
      <c r="O10" s="829"/>
      <c r="P10" s="36"/>
      <c r="Q10" s="830"/>
      <c r="R10" s="39"/>
      <c r="S10" s="814"/>
      <c r="T10" s="814"/>
      <c r="U10" s="814"/>
      <c r="V10" s="796"/>
      <c r="W10" s="814"/>
      <c r="X10" s="831"/>
      <c r="Y10" s="831"/>
      <c r="Z10" s="832"/>
      <c r="AA10" s="832"/>
      <c r="AB10" s="39">
        <f t="shared" ref="AB10:AB33" si="6">+R10*G10</f>
        <v>0</v>
      </c>
      <c r="AC10" s="39"/>
      <c r="AD10" s="39"/>
      <c r="AE10" s="39">
        <f t="shared" ref="AE10:AE33" si="7">+R10</f>
        <v>0</v>
      </c>
      <c r="AF10" s="39">
        <f t="shared" si="2"/>
        <v>0</v>
      </c>
      <c r="AG10" s="39"/>
      <c r="AH10" s="39"/>
      <c r="AI10" s="39"/>
      <c r="AJ10" s="39"/>
      <c r="AK10" s="39">
        <f t="shared" ref="AK10:AK33" si="8">+AI10-AJ10</f>
        <v>0</v>
      </c>
      <c r="AL10" s="125"/>
      <c r="AM10" s="462"/>
      <c r="AN10" s="125"/>
      <c r="AO10" s="125">
        <f t="shared" si="3"/>
        <v>0</v>
      </c>
      <c r="AP10" s="125">
        <f t="shared" si="4"/>
        <v>0</v>
      </c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</row>
    <row r="11" spans="1:63" s="14" customFormat="1" x14ac:dyDescent="0.2">
      <c r="A11" s="825" t="s">
        <v>89</v>
      </c>
      <c r="B11" s="826"/>
      <c r="C11" s="826">
        <v>6</v>
      </c>
      <c r="D11" s="826" t="s">
        <v>629</v>
      </c>
      <c r="E11" s="76">
        <f t="shared" si="0"/>
        <v>168441.728</v>
      </c>
      <c r="F11" s="822">
        <v>144.61000000000001</v>
      </c>
      <c r="G11" s="796">
        <v>0.7</v>
      </c>
      <c r="H11" s="796">
        <v>0.75</v>
      </c>
      <c r="I11" s="796">
        <v>0.9</v>
      </c>
      <c r="J11" s="796">
        <v>0</v>
      </c>
      <c r="K11" s="49">
        <f t="shared" ref="K11:K28" si="9">+$K$6*L11</f>
        <v>152.20027530696356</v>
      </c>
      <c r="L11" s="36">
        <f t="shared" ref="L11:L33" si="10">+M11/R11</f>
        <v>39.90504807692308</v>
      </c>
      <c r="M11" s="39">
        <f>+N11*24</f>
        <v>66402</v>
      </c>
      <c r="N11" s="828">
        <v>2766.75</v>
      </c>
      <c r="O11" s="829">
        <v>6.4</v>
      </c>
      <c r="P11" s="36">
        <f>+O11*5</f>
        <v>32</v>
      </c>
      <c r="Q11" s="830">
        <v>1</v>
      </c>
      <c r="R11" s="39">
        <f t="shared" ref="R11:R33" si="11">+P11*52</f>
        <v>1664</v>
      </c>
      <c r="S11" s="814">
        <v>64</v>
      </c>
      <c r="T11" s="814">
        <v>80</v>
      </c>
      <c r="U11" s="814">
        <v>0</v>
      </c>
      <c r="V11" s="796">
        <v>1.4999999999999999E-2</v>
      </c>
      <c r="W11" s="814"/>
      <c r="X11" s="831">
        <v>0</v>
      </c>
      <c r="Y11" s="831">
        <v>48.69</v>
      </c>
      <c r="Z11" s="832">
        <v>0</v>
      </c>
      <c r="AA11" s="832">
        <v>0</v>
      </c>
      <c r="AB11" s="39">
        <f t="shared" si="6"/>
        <v>1164.8</v>
      </c>
      <c r="AC11" s="39">
        <f>+AI11-AJ11-AB11</f>
        <v>355.20000000000005</v>
      </c>
      <c r="AD11" s="39">
        <f t="shared" ref="AD11:AD33" si="12">IF(Q11&gt;0,AJ11,0)</f>
        <v>144</v>
      </c>
      <c r="AE11" s="39">
        <f t="shared" si="7"/>
        <v>1664</v>
      </c>
      <c r="AF11" s="39">
        <f t="shared" si="2"/>
        <v>0</v>
      </c>
      <c r="AG11" s="39">
        <f t="shared" ref="AG11:AG33" si="13">IF(Q11&gt;0,0,AJ11)</f>
        <v>0</v>
      </c>
      <c r="AH11" s="39">
        <f>AF11+AG11</f>
        <v>0</v>
      </c>
      <c r="AI11" s="39">
        <f>AE11+AH11</f>
        <v>1664</v>
      </c>
      <c r="AJ11" s="39">
        <f t="shared" ref="AJ11:AJ28" si="14">S11+T11+U11</f>
        <v>144</v>
      </c>
      <c r="AK11" s="39">
        <f t="shared" si="8"/>
        <v>1520</v>
      </c>
      <c r="AL11" s="125">
        <f t="shared" ref="AL11:AL33" si="15">+AI11*L11</f>
        <v>66402</v>
      </c>
      <c r="AM11" s="462">
        <f>Annual_raise_percentage*No._months_raise_effective*AL11</f>
        <v>996.03</v>
      </c>
      <c r="AN11" s="125">
        <f>+AL11+AM11</f>
        <v>67398.03</v>
      </c>
      <c r="AO11" s="125">
        <f t="shared" si="3"/>
        <v>46481.4</v>
      </c>
      <c r="AP11" s="125">
        <f t="shared" si="4"/>
        <v>15170.303076923074</v>
      </c>
      <c r="AQ11" s="125">
        <f>+AY11</f>
        <v>5746.3269230769238</v>
      </c>
      <c r="AR11" s="125">
        <f t="shared" ref="AR11:AR33" si="16">IF(Q11=0,AN11-AS11,0)</f>
        <v>0</v>
      </c>
      <c r="AS11" s="125">
        <f t="shared" ref="AS11:AS33" si="17">IF(Q11&gt;0,0,AY11)</f>
        <v>0</v>
      </c>
      <c r="AT11" s="125">
        <f>AR11+AS11</f>
        <v>0</v>
      </c>
      <c r="AU11" s="125">
        <f t="shared" ref="AU11:AU33" si="18">+L11*S11</f>
        <v>2553.9230769230771</v>
      </c>
      <c r="AV11" s="125">
        <f t="shared" ref="AV11:AV33" si="19">+L11*T11</f>
        <v>3192.4038461538466</v>
      </c>
      <c r="AW11" s="125">
        <f t="shared" ref="AW11:AW33" si="20">+L11*U11</f>
        <v>0</v>
      </c>
      <c r="AX11" s="125">
        <f>+AO11+AP11+AQ11</f>
        <v>67398.03</v>
      </c>
      <c r="AY11" s="125">
        <f>AU11+AV11+AW11</f>
        <v>5746.3269230769238</v>
      </c>
      <c r="AZ11" s="125">
        <f t="shared" ref="AZ11:AZ28" si="21">AN11-AY11</f>
        <v>61651.703076923077</v>
      </c>
      <c r="BA11" s="39">
        <f>IF(AN11:AN38&lt;Fica_wages,AN11:AN38*Fica_rate,Fica_wages*Fica_rate)</f>
        <v>4178.6778599999998</v>
      </c>
      <c r="BB11" s="39">
        <f>IF(AN11:AN38&lt;Medicare_wages,AN11:AN38*Medicare_rate,Medicare_rate*Medicare_wages)</f>
        <v>977.271435</v>
      </c>
      <c r="BC11" s="39">
        <f t="shared" ref="BC11" si="22">IF(BA11+(BK11*Fica_rate)&lt;Fica_rate*Fica_wages,BK11*Fica_rate,(Fica_rate*Fica_wages)-BA11)+IF(BB11+(BK11*Medicare_rate)&lt;Medicare_rate*Medicare_wages,BK11*Medicare_rate,(Medicare_rate*Medicare_wages)-BB11)</f>
        <v>154.67847884999998</v>
      </c>
      <c r="BD11" s="39">
        <f t="shared" ref="BD11:BD28" si="23">IF(AN11&gt;Federal_unemployment_amount,Federal_unemployment_amount*Federal_unemployment_rate,AN11*Federal_unemployment_rate)</f>
        <v>56</v>
      </c>
      <c r="BE11" s="39">
        <f>IF(AN11&gt;State_unemployment_amount,State_unemployment_amount*State_unemployment_rate,AN11*State_unemployment_rate)</f>
        <v>164.01</v>
      </c>
      <c r="BF11" s="39">
        <f>V11:V38*AN11:AN38</f>
        <v>1010.9704499999999</v>
      </c>
      <c r="BG11" s="39">
        <f t="shared" ref="BG11:BG33" si="24">+W11*12</f>
        <v>0</v>
      </c>
      <c r="BH11" s="39">
        <f t="shared" ref="BH11:BH33" si="25">+X11*-12</f>
        <v>0</v>
      </c>
      <c r="BI11" s="39">
        <f t="shared" ref="BI11:BI24" si="26">+Y11*12</f>
        <v>584.28</v>
      </c>
      <c r="BJ11" s="39">
        <f>(BK11:BK38+AN11:AN38)*Retirement_plan_contribution_percent_of_base_pay</f>
        <v>2082.599127</v>
      </c>
      <c r="BK11" s="39">
        <f t="shared" ref="BK11:BK28" si="27">Bonus_percent_of_base_pay*AN11</f>
        <v>2021.9408999999998</v>
      </c>
    </row>
    <row r="12" spans="1:63" s="14" customFormat="1" x14ac:dyDescent="0.2">
      <c r="A12" s="827" t="s">
        <v>91</v>
      </c>
      <c r="B12" s="826"/>
      <c r="C12" s="826">
        <v>6</v>
      </c>
      <c r="D12" s="826" t="s">
        <v>629</v>
      </c>
      <c r="E12" s="76">
        <f t="shared" si="0"/>
        <v>167519.03999999998</v>
      </c>
      <c r="F12" s="822">
        <v>134.22999999999999</v>
      </c>
      <c r="G12" s="796">
        <v>0.75</v>
      </c>
      <c r="H12" s="796">
        <v>0.92</v>
      </c>
      <c r="I12" s="796">
        <v>0.47</v>
      </c>
      <c r="J12" s="796">
        <v>0.25</v>
      </c>
      <c r="K12" s="49">
        <f t="shared" si="9"/>
        <v>145.83116068690742</v>
      </c>
      <c r="L12" s="36">
        <f t="shared" si="10"/>
        <v>38.23514423076923</v>
      </c>
      <c r="M12" s="39">
        <f t="shared" ref="M12:M33" si="28">+N12*24</f>
        <v>63623.28</v>
      </c>
      <c r="N12" s="828">
        <v>2650.97</v>
      </c>
      <c r="O12" s="829">
        <v>6.4</v>
      </c>
      <c r="P12" s="36">
        <f t="shared" ref="P12:P33" si="29">+O12*5</f>
        <v>32</v>
      </c>
      <c r="Q12" s="830">
        <v>1</v>
      </c>
      <c r="R12" s="39">
        <f t="shared" si="11"/>
        <v>1664</v>
      </c>
      <c r="S12" s="814">
        <v>64</v>
      </c>
      <c r="T12" s="814">
        <v>80</v>
      </c>
      <c r="U12" s="814">
        <v>0</v>
      </c>
      <c r="V12" s="796">
        <v>1.4999999999999999E-2</v>
      </c>
      <c r="W12" s="814">
        <v>1063.74</v>
      </c>
      <c r="X12" s="831">
        <v>298.76</v>
      </c>
      <c r="Y12" s="831">
        <v>46.65</v>
      </c>
      <c r="Z12" s="832">
        <v>0</v>
      </c>
      <c r="AA12" s="832">
        <v>0</v>
      </c>
      <c r="AB12" s="39">
        <f t="shared" si="6"/>
        <v>1248</v>
      </c>
      <c r="AC12" s="39">
        <f t="shared" ref="AC12:AC28" si="30">+AI12-AJ12-AB12</f>
        <v>272</v>
      </c>
      <c r="AD12" s="39">
        <f t="shared" si="12"/>
        <v>144</v>
      </c>
      <c r="AE12" s="39">
        <f t="shared" si="7"/>
        <v>1664</v>
      </c>
      <c r="AF12" s="39">
        <f t="shared" si="2"/>
        <v>0</v>
      </c>
      <c r="AG12" s="39">
        <f t="shared" si="13"/>
        <v>0</v>
      </c>
      <c r="AH12" s="39">
        <f t="shared" ref="AH12:AH28" si="31">AF12+AG12</f>
        <v>0</v>
      </c>
      <c r="AI12" s="39">
        <f t="shared" ref="AI12:AI28" si="32">AE12+AH12</f>
        <v>1664</v>
      </c>
      <c r="AJ12" s="39">
        <f t="shared" si="14"/>
        <v>144</v>
      </c>
      <c r="AK12" s="39">
        <f t="shared" si="8"/>
        <v>1520</v>
      </c>
      <c r="AL12" s="125">
        <f t="shared" si="15"/>
        <v>63623.28</v>
      </c>
      <c r="AM12" s="462">
        <f t="shared" ref="AM12:AM28" si="33">Annual_raise_percentage*No._months_raise_effective*AL12</f>
        <v>954.3492</v>
      </c>
      <c r="AN12" s="125">
        <f t="shared" ref="AN12:AN28" si="34">+AL12+AM12</f>
        <v>64577.629199999996</v>
      </c>
      <c r="AO12" s="125">
        <f t="shared" si="3"/>
        <v>47717.46</v>
      </c>
      <c r="AP12" s="125">
        <f t="shared" si="4"/>
        <v>11354.308430769228</v>
      </c>
      <c r="AQ12" s="125">
        <f t="shared" si="5"/>
        <v>5505.8607692307687</v>
      </c>
      <c r="AR12" s="125">
        <f t="shared" si="16"/>
        <v>0</v>
      </c>
      <c r="AS12" s="125">
        <f t="shared" si="17"/>
        <v>0</v>
      </c>
      <c r="AT12" s="125">
        <f t="shared" ref="AT12:AT28" si="35">AR12+AS12</f>
        <v>0</v>
      </c>
      <c r="AU12" s="125">
        <f t="shared" si="18"/>
        <v>2447.0492307692307</v>
      </c>
      <c r="AV12" s="125">
        <f t="shared" si="19"/>
        <v>3058.8115384615385</v>
      </c>
      <c r="AW12" s="125">
        <f t="shared" si="20"/>
        <v>0</v>
      </c>
      <c r="AX12" s="125">
        <f t="shared" ref="AX12:AX28" si="36">+AO12+AP12+AQ12</f>
        <v>64577.629199999996</v>
      </c>
      <c r="AY12" s="125">
        <f t="shared" ref="AY12:AY28" si="37">AU12+AV12+AW12</f>
        <v>5505.8607692307687</v>
      </c>
      <c r="AZ12" s="125">
        <f t="shared" si="21"/>
        <v>59071.768430769225</v>
      </c>
      <c r="BA12" s="39">
        <f>IF(AN12:AN39&lt;Fica_wages,AN12:AN39*Fica_rate,Fica_wages*Fica_rate)</f>
        <v>4003.8130103999997</v>
      </c>
      <c r="BB12" s="39">
        <f>IF(AN12:AN39&lt;Medicare_wages,AN12:AN39*Medicare_rate,Medicare_rate*Medicare_wages)</f>
        <v>936.37562339999999</v>
      </c>
      <c r="BC12" s="39">
        <f t="shared" ref="BC12:BC28" si="38">IF(BA12+(BK12*Fica_rate)&lt;Fica_rate*Fica_wages,BK12*Fica_rate,(Fica_rate*Fica_wages)-BA12)+IF(BB12+(BK12*Medicare_rate)&lt;Medicare_rate*Medicare_wages,BK12*Medicare_rate,(Medicare_rate*Medicare_wages)-BB12)</f>
        <v>148.20565901399999</v>
      </c>
      <c r="BD12" s="39">
        <f t="shared" si="23"/>
        <v>56</v>
      </c>
      <c r="BE12" s="39">
        <f>IF(AN12&gt;State_unemployment_amount,State_unemployment_amount*State_unemployment_rate,AN12*State_unemployment_rate)</f>
        <v>164.01</v>
      </c>
      <c r="BF12" s="39">
        <f>V12:V39*AN12:AN39</f>
        <v>968.6644379999999</v>
      </c>
      <c r="BG12" s="39">
        <f t="shared" si="24"/>
        <v>12764.880000000001</v>
      </c>
      <c r="BH12" s="39">
        <f t="shared" si="25"/>
        <v>-3585.12</v>
      </c>
      <c r="BI12" s="39">
        <f t="shared" si="26"/>
        <v>559.79999999999995</v>
      </c>
      <c r="BJ12" s="39">
        <f>(BK12:BK39+AN12:AN39)*Retirement_plan_contribution_percent_of_base_pay</f>
        <v>1995.4487422799998</v>
      </c>
      <c r="BK12" s="39">
        <f t="shared" si="27"/>
        <v>1937.3288759999998</v>
      </c>
    </row>
    <row r="13" spans="1:63" s="14" customFormat="1" x14ac:dyDescent="0.2">
      <c r="A13" s="825" t="s">
        <v>93</v>
      </c>
      <c r="B13" s="826"/>
      <c r="C13" s="826">
        <v>6</v>
      </c>
      <c r="D13" s="826" t="s">
        <v>629</v>
      </c>
      <c r="E13" s="76">
        <f t="shared" si="0"/>
        <v>151656.95999999999</v>
      </c>
      <c r="F13" s="822">
        <v>121.52</v>
      </c>
      <c r="G13" s="796">
        <v>0.75</v>
      </c>
      <c r="H13" s="796">
        <v>0.93</v>
      </c>
      <c r="I13" s="796">
        <v>0.85</v>
      </c>
      <c r="J13" s="796">
        <v>0.87</v>
      </c>
      <c r="K13" s="49">
        <f t="shared" si="9"/>
        <v>132.04993254200798</v>
      </c>
      <c r="L13" s="36">
        <f t="shared" si="10"/>
        <v>34.621874999999996</v>
      </c>
      <c r="M13" s="39">
        <f t="shared" si="28"/>
        <v>57610.799999999996</v>
      </c>
      <c r="N13" s="828">
        <v>2400.4499999999998</v>
      </c>
      <c r="O13" s="829">
        <v>6.4</v>
      </c>
      <c r="P13" s="36">
        <f t="shared" si="29"/>
        <v>32</v>
      </c>
      <c r="Q13" s="830">
        <v>1</v>
      </c>
      <c r="R13" s="39">
        <f t="shared" si="11"/>
        <v>1664</v>
      </c>
      <c r="S13" s="814">
        <v>64</v>
      </c>
      <c r="T13" s="814">
        <v>80</v>
      </c>
      <c r="U13" s="814">
        <v>0</v>
      </c>
      <c r="V13" s="796">
        <v>1.4999999999999999E-2</v>
      </c>
      <c r="W13" s="814">
        <v>536.42999999999995</v>
      </c>
      <c r="X13" s="831">
        <v>149.38</v>
      </c>
      <c r="Y13" s="831">
        <v>42.25</v>
      </c>
      <c r="Z13" s="832">
        <v>0</v>
      </c>
      <c r="AA13" s="832">
        <v>0</v>
      </c>
      <c r="AB13" s="39">
        <f t="shared" si="6"/>
        <v>1248</v>
      </c>
      <c r="AC13" s="39">
        <f t="shared" si="30"/>
        <v>272</v>
      </c>
      <c r="AD13" s="39">
        <f t="shared" si="12"/>
        <v>144</v>
      </c>
      <c r="AE13" s="39">
        <f t="shared" si="7"/>
        <v>1664</v>
      </c>
      <c r="AF13" s="39">
        <f t="shared" si="2"/>
        <v>0</v>
      </c>
      <c r="AG13" s="39">
        <f t="shared" si="13"/>
        <v>0</v>
      </c>
      <c r="AH13" s="39">
        <f t="shared" si="31"/>
        <v>0</v>
      </c>
      <c r="AI13" s="39">
        <f t="shared" si="32"/>
        <v>1664</v>
      </c>
      <c r="AJ13" s="39">
        <f t="shared" si="14"/>
        <v>144</v>
      </c>
      <c r="AK13" s="39">
        <f t="shared" si="8"/>
        <v>1520</v>
      </c>
      <c r="AL13" s="125">
        <f t="shared" si="15"/>
        <v>57610.799999999996</v>
      </c>
      <c r="AM13" s="462">
        <f t="shared" si="33"/>
        <v>864.16199999999992</v>
      </c>
      <c r="AN13" s="125">
        <f t="shared" si="34"/>
        <v>58474.961999999992</v>
      </c>
      <c r="AO13" s="125">
        <f t="shared" si="3"/>
        <v>43208.099999999991</v>
      </c>
      <c r="AP13" s="125">
        <f t="shared" si="4"/>
        <v>10281.312000000002</v>
      </c>
      <c r="AQ13" s="125">
        <f t="shared" si="5"/>
        <v>4985.5499999999993</v>
      </c>
      <c r="AR13" s="125">
        <f t="shared" si="16"/>
        <v>0</v>
      </c>
      <c r="AS13" s="125">
        <f t="shared" si="17"/>
        <v>0</v>
      </c>
      <c r="AT13" s="125">
        <f t="shared" si="35"/>
        <v>0</v>
      </c>
      <c r="AU13" s="125">
        <f t="shared" si="18"/>
        <v>2215.7999999999997</v>
      </c>
      <c r="AV13" s="125">
        <f t="shared" si="19"/>
        <v>2769.7499999999995</v>
      </c>
      <c r="AW13" s="125">
        <f t="shared" si="20"/>
        <v>0</v>
      </c>
      <c r="AX13" s="125">
        <f t="shared" si="36"/>
        <v>58474.962</v>
      </c>
      <c r="AY13" s="125">
        <f t="shared" si="37"/>
        <v>4985.5499999999993</v>
      </c>
      <c r="AZ13" s="125">
        <f t="shared" si="21"/>
        <v>53489.411999999997</v>
      </c>
      <c r="BA13" s="39">
        <f>IF(AN12:AN39&lt;Fica_wages,AN12:AN39*Fica_rate,Fica_wages*Fica_rate)</f>
        <v>3625.4476439999994</v>
      </c>
      <c r="BB13" s="39">
        <f>IF(AN12:AN39&lt;Medicare_wages,AN12:AN39*Medicare_rate,Medicare_rate*Medicare_wages)</f>
        <v>847.88694899999996</v>
      </c>
      <c r="BC13" s="39">
        <f t="shared" si="38"/>
        <v>134.20003778999998</v>
      </c>
      <c r="BD13" s="39">
        <f t="shared" si="23"/>
        <v>56</v>
      </c>
      <c r="BE13" s="39">
        <f>IF(AN13&gt;State_unemployment_amount,State_unemployment_amount*State_unemployment_rate,AN13*State_unemployment_rate)</f>
        <v>164.01</v>
      </c>
      <c r="BF13" s="39">
        <f>V12:V39*AN12:AN39</f>
        <v>877.12442999999985</v>
      </c>
      <c r="BG13" s="39">
        <f t="shared" si="24"/>
        <v>6437.16</v>
      </c>
      <c r="BH13" s="39">
        <f t="shared" si="25"/>
        <v>-1792.56</v>
      </c>
      <c r="BI13" s="39">
        <f t="shared" si="26"/>
        <v>507</v>
      </c>
      <c r="BJ13" s="39">
        <f>(BK13:BK39+AN12:AN39)*Retirement_plan_contribution_percent_of_base_pay</f>
        <v>1806.8763257999997</v>
      </c>
      <c r="BK13" s="39">
        <f t="shared" si="27"/>
        <v>1754.2488599999997</v>
      </c>
    </row>
    <row r="14" spans="1:63" s="14" customFormat="1" x14ac:dyDescent="0.2">
      <c r="A14" s="825" t="s">
        <v>95</v>
      </c>
      <c r="B14" s="826"/>
      <c r="C14" s="826">
        <v>7</v>
      </c>
      <c r="D14" s="826" t="s">
        <v>631</v>
      </c>
      <c r="E14" s="76">
        <f t="shared" si="0"/>
        <v>145604.16</v>
      </c>
      <c r="F14" s="822">
        <v>116.67</v>
      </c>
      <c r="G14" s="796">
        <v>0.75</v>
      </c>
      <c r="H14" s="796">
        <v>0.97</v>
      </c>
      <c r="I14" s="796">
        <v>0.93</v>
      </c>
      <c r="J14" s="796">
        <v>0.84</v>
      </c>
      <c r="K14" s="49">
        <f t="shared" si="9"/>
        <v>126.76782521934614</v>
      </c>
      <c r="L14" s="36">
        <f t="shared" si="10"/>
        <v>33.236971153846149</v>
      </c>
      <c r="M14" s="39">
        <f t="shared" si="28"/>
        <v>55306.319999999992</v>
      </c>
      <c r="N14" s="828">
        <v>2304.4299999999998</v>
      </c>
      <c r="O14" s="829">
        <v>6.4</v>
      </c>
      <c r="P14" s="36">
        <f t="shared" si="29"/>
        <v>32</v>
      </c>
      <c r="Q14" s="830">
        <v>1</v>
      </c>
      <c r="R14" s="39">
        <f t="shared" si="11"/>
        <v>1664</v>
      </c>
      <c r="S14" s="814">
        <v>64</v>
      </c>
      <c r="T14" s="814">
        <v>80</v>
      </c>
      <c r="U14" s="814">
        <v>0</v>
      </c>
      <c r="V14" s="796">
        <v>1.4999999999999999E-2</v>
      </c>
      <c r="W14" s="814">
        <v>387.05</v>
      </c>
      <c r="X14" s="831">
        <v>0</v>
      </c>
      <c r="Y14" s="831">
        <v>40.549999999999997</v>
      </c>
      <c r="Z14" s="832">
        <v>0</v>
      </c>
      <c r="AA14" s="832">
        <v>0</v>
      </c>
      <c r="AB14" s="39">
        <f t="shared" si="6"/>
        <v>1248</v>
      </c>
      <c r="AC14" s="39">
        <f t="shared" si="30"/>
        <v>272</v>
      </c>
      <c r="AD14" s="39">
        <f t="shared" si="12"/>
        <v>144</v>
      </c>
      <c r="AE14" s="39">
        <f t="shared" si="7"/>
        <v>1664</v>
      </c>
      <c r="AF14" s="39">
        <f t="shared" si="2"/>
        <v>0</v>
      </c>
      <c r="AG14" s="39">
        <f t="shared" si="13"/>
        <v>0</v>
      </c>
      <c r="AH14" s="39">
        <f t="shared" si="31"/>
        <v>0</v>
      </c>
      <c r="AI14" s="39">
        <f t="shared" si="32"/>
        <v>1664</v>
      </c>
      <c r="AJ14" s="39">
        <f t="shared" si="14"/>
        <v>144</v>
      </c>
      <c r="AK14" s="39">
        <f t="shared" si="8"/>
        <v>1520</v>
      </c>
      <c r="AL14" s="125">
        <f t="shared" si="15"/>
        <v>55306.319999999992</v>
      </c>
      <c r="AM14" s="462">
        <f t="shared" si="33"/>
        <v>829.59479999999985</v>
      </c>
      <c r="AN14" s="125">
        <f t="shared" si="34"/>
        <v>56135.914799999991</v>
      </c>
      <c r="AO14" s="125">
        <f t="shared" si="3"/>
        <v>41479.739999999991</v>
      </c>
      <c r="AP14" s="125">
        <f t="shared" si="4"/>
        <v>9870.0509538461556</v>
      </c>
      <c r="AQ14" s="125">
        <f t="shared" si="5"/>
        <v>4786.1238461538451</v>
      </c>
      <c r="AR14" s="125">
        <f t="shared" si="16"/>
        <v>0</v>
      </c>
      <c r="AS14" s="125">
        <f t="shared" si="17"/>
        <v>0</v>
      </c>
      <c r="AT14" s="125">
        <f t="shared" si="35"/>
        <v>0</v>
      </c>
      <c r="AU14" s="125">
        <f t="shared" si="18"/>
        <v>2127.1661538461535</v>
      </c>
      <c r="AV14" s="125">
        <f t="shared" si="19"/>
        <v>2658.957692307692</v>
      </c>
      <c r="AW14" s="125">
        <f t="shared" si="20"/>
        <v>0</v>
      </c>
      <c r="AX14" s="125">
        <f t="shared" si="36"/>
        <v>56135.914799999991</v>
      </c>
      <c r="AY14" s="125">
        <f t="shared" si="37"/>
        <v>4786.1238461538451</v>
      </c>
      <c r="AZ14" s="125">
        <f t="shared" si="21"/>
        <v>51349.790953846146</v>
      </c>
      <c r="BA14" s="39">
        <f>IF(AN12:AN39&lt;Fica_wages,AN12:AN39*Fica_rate,Fica_wages*Fica_rate)</f>
        <v>3480.4267175999994</v>
      </c>
      <c r="BB14" s="39">
        <f>IF(AN12:AN39&lt;Medicare_wages,AN12:AN39*Medicare_rate,Medicare_rate*Medicare_wages)</f>
        <v>813.97076459999994</v>
      </c>
      <c r="BC14" s="39">
        <f t="shared" si="38"/>
        <v>128.83192446599998</v>
      </c>
      <c r="BD14" s="39">
        <f t="shared" si="23"/>
        <v>56</v>
      </c>
      <c r="BE14" s="39">
        <f>IF(AN14&gt;State_unemployment_amount,State_unemployment_amount*State_unemployment_rate,AN14*State_unemployment_rate)</f>
        <v>164.01</v>
      </c>
      <c r="BF14" s="39">
        <f>V12:V39*AN12:AN39</f>
        <v>842.03872199999989</v>
      </c>
      <c r="BG14" s="39">
        <f t="shared" si="24"/>
        <v>4644.6000000000004</v>
      </c>
      <c r="BH14" s="39">
        <f t="shared" si="25"/>
        <v>0</v>
      </c>
      <c r="BI14" s="39">
        <f t="shared" si="26"/>
        <v>486.59999999999997</v>
      </c>
      <c r="BJ14" s="39">
        <f>(BK12:BK39+AN12:AN39)*Retirement_plan_contribution_percent_of_base_pay</f>
        <v>1734.5997673199997</v>
      </c>
      <c r="BK14" s="39">
        <f t="shared" si="27"/>
        <v>1684.0774439999998</v>
      </c>
    </row>
    <row r="15" spans="1:63" s="14" customFormat="1" x14ac:dyDescent="0.2">
      <c r="A15" s="825" t="s">
        <v>97</v>
      </c>
      <c r="B15" s="826"/>
      <c r="C15" s="826">
        <v>10</v>
      </c>
      <c r="D15" s="826" t="s">
        <v>630</v>
      </c>
      <c r="E15" s="76">
        <f t="shared" si="0"/>
        <v>131976</v>
      </c>
      <c r="F15" s="822">
        <v>105.75</v>
      </c>
      <c r="G15" s="796">
        <v>0.75</v>
      </c>
      <c r="H15" s="796">
        <v>0.77</v>
      </c>
      <c r="I15" s="796">
        <v>0.94</v>
      </c>
      <c r="J15" s="796">
        <v>0.93</v>
      </c>
      <c r="K15" s="49">
        <f t="shared" si="9"/>
        <v>119.67037170164328</v>
      </c>
      <c r="L15" s="36">
        <f t="shared" si="10"/>
        <v>31.376105769230769</v>
      </c>
      <c r="M15" s="39">
        <f>+N15*24</f>
        <v>52209.84</v>
      </c>
      <c r="N15" s="828">
        <v>2175.41</v>
      </c>
      <c r="O15" s="829">
        <v>6.4</v>
      </c>
      <c r="P15" s="36">
        <f>+O15*5</f>
        <v>32</v>
      </c>
      <c r="Q15" s="830">
        <v>1</v>
      </c>
      <c r="R15" s="39">
        <f t="shared" si="11"/>
        <v>1664</v>
      </c>
      <c r="S15" s="814">
        <v>64</v>
      </c>
      <c r="T15" s="814">
        <v>80</v>
      </c>
      <c r="U15" s="814">
        <v>0</v>
      </c>
      <c r="V15" s="796">
        <v>5.0000000000000001E-3</v>
      </c>
      <c r="W15" s="814">
        <v>536.42999999999995</v>
      </c>
      <c r="X15" s="831">
        <v>149.38</v>
      </c>
      <c r="Y15" s="831">
        <v>38.28</v>
      </c>
      <c r="Z15" s="832">
        <v>0</v>
      </c>
      <c r="AA15" s="832">
        <v>0</v>
      </c>
      <c r="AB15" s="39">
        <f t="shared" si="6"/>
        <v>1248</v>
      </c>
      <c r="AC15" s="39">
        <f t="shared" si="30"/>
        <v>272</v>
      </c>
      <c r="AD15" s="39">
        <f t="shared" si="12"/>
        <v>144</v>
      </c>
      <c r="AE15" s="39">
        <f t="shared" si="7"/>
        <v>1664</v>
      </c>
      <c r="AF15" s="39">
        <f t="shared" si="2"/>
        <v>0</v>
      </c>
      <c r="AG15" s="39">
        <f t="shared" si="13"/>
        <v>0</v>
      </c>
      <c r="AH15" s="39">
        <f>AF15+AG15</f>
        <v>0</v>
      </c>
      <c r="AI15" s="39">
        <f>AE15+AH15</f>
        <v>1664</v>
      </c>
      <c r="AJ15" s="39">
        <f t="shared" si="14"/>
        <v>144</v>
      </c>
      <c r="AK15" s="39">
        <f t="shared" si="8"/>
        <v>1520</v>
      </c>
      <c r="AL15" s="125">
        <f t="shared" si="15"/>
        <v>52209.84</v>
      </c>
      <c r="AM15" s="462">
        <f>Annual_raise_percentage*No._months_raise_effective*AL15</f>
        <v>783.1475999999999</v>
      </c>
      <c r="AN15" s="125">
        <f>+AL15+AM15</f>
        <v>52992.987599999993</v>
      </c>
      <c r="AO15" s="125">
        <f t="shared" si="3"/>
        <v>39157.379999999997</v>
      </c>
      <c r="AP15" s="125">
        <f t="shared" si="4"/>
        <v>9317.4483692307658</v>
      </c>
      <c r="AQ15" s="125">
        <f>+AY15</f>
        <v>4518.1592307692308</v>
      </c>
      <c r="AR15" s="125">
        <f t="shared" si="16"/>
        <v>0</v>
      </c>
      <c r="AS15" s="125">
        <f t="shared" si="17"/>
        <v>0</v>
      </c>
      <c r="AT15" s="125">
        <f>AR15+AS15</f>
        <v>0</v>
      </c>
      <c r="AU15" s="125">
        <f t="shared" si="18"/>
        <v>2008.0707692307692</v>
      </c>
      <c r="AV15" s="125">
        <f t="shared" si="19"/>
        <v>2510.0884615384616</v>
      </c>
      <c r="AW15" s="125">
        <f t="shared" si="20"/>
        <v>0</v>
      </c>
      <c r="AX15" s="125">
        <f>+AO15+AP15+AQ15</f>
        <v>52992.987599999993</v>
      </c>
      <c r="AY15" s="125">
        <f>AU15+AV15+AW15</f>
        <v>4518.1592307692308</v>
      </c>
      <c r="AZ15" s="125">
        <f t="shared" si="21"/>
        <v>48474.82836923076</v>
      </c>
      <c r="BA15" s="39">
        <f>IF(AN12:AN39&lt;Fica_wages,AN12:AN39*Fica_rate,Fica_wages*Fica_rate)</f>
        <v>3285.5652311999997</v>
      </c>
      <c r="BB15" s="39">
        <f>IF(AN12:AN39&lt;Medicare_wages,AN12:AN39*Medicare_rate,Medicare_rate*Medicare_wages)</f>
        <v>768.39832019999994</v>
      </c>
      <c r="BC15" s="39">
        <f>IF(BA15+(BK15*Fica_rate)&lt;Fica_rate*Fica_wages,BK15*Fica_rate,(Fica_rate*Fica_wages)-BA15)+IF(BB15+(BK15*Medicare_rate)&lt;Medicare_rate*Medicare_wages,BK15*Medicare_rate,(Medicare_rate*Medicare_wages)-BB15)</f>
        <v>121.61890654199998</v>
      </c>
      <c r="BD15" s="39">
        <f t="shared" si="23"/>
        <v>56</v>
      </c>
      <c r="BE15" s="39">
        <f>IF(AN15&gt;State_unemployment_amount,State_unemployment_amount*State_unemployment_rate,AN15*State_unemployment_rate)</f>
        <v>164.01</v>
      </c>
      <c r="BF15" s="39">
        <f>V12:V39*AN12:AN39</f>
        <v>264.96493799999996</v>
      </c>
      <c r="BG15" s="39">
        <f t="shared" si="24"/>
        <v>6437.16</v>
      </c>
      <c r="BH15" s="39">
        <f t="shared" si="25"/>
        <v>-1792.56</v>
      </c>
      <c r="BI15" s="39">
        <f t="shared" si="26"/>
        <v>459.36</v>
      </c>
      <c r="BJ15" s="39">
        <f>(BK12:BK39+AN12:AN39)*Retirement_plan_contribution_percent_of_base_pay</f>
        <v>1637.4833168399996</v>
      </c>
      <c r="BK15" s="39">
        <f t="shared" si="27"/>
        <v>1589.7896279999998</v>
      </c>
    </row>
    <row r="16" spans="1:63" s="14" customFormat="1" x14ac:dyDescent="0.2">
      <c r="A16" s="825" t="s">
        <v>98</v>
      </c>
      <c r="B16" s="826"/>
      <c r="C16" s="826">
        <v>10</v>
      </c>
      <c r="D16" s="826" t="s">
        <v>630</v>
      </c>
      <c r="E16" s="76">
        <f t="shared" si="0"/>
        <v>130341.12</v>
      </c>
      <c r="F16" s="822">
        <v>104.44</v>
      </c>
      <c r="G16" s="796">
        <v>0.75</v>
      </c>
      <c r="H16" s="796">
        <v>0.98</v>
      </c>
      <c r="I16" s="796">
        <v>0.88</v>
      </c>
      <c r="J16" s="796">
        <v>0.75</v>
      </c>
      <c r="K16" s="49">
        <f t="shared" si="9"/>
        <v>118.18453834624759</v>
      </c>
      <c r="L16" s="36">
        <f t="shared" si="10"/>
        <v>30.986538461538466</v>
      </c>
      <c r="M16" s="39">
        <f t="shared" si="28"/>
        <v>51561.600000000006</v>
      </c>
      <c r="N16" s="828">
        <v>2148.4</v>
      </c>
      <c r="O16" s="829">
        <v>6.4</v>
      </c>
      <c r="P16" s="36">
        <f t="shared" si="29"/>
        <v>32</v>
      </c>
      <c r="Q16" s="830">
        <v>1</v>
      </c>
      <c r="R16" s="39">
        <f t="shared" si="11"/>
        <v>1664</v>
      </c>
      <c r="S16" s="814">
        <v>64</v>
      </c>
      <c r="T16" s="814">
        <v>80</v>
      </c>
      <c r="U16" s="814">
        <v>0</v>
      </c>
      <c r="V16" s="796">
        <v>1.4999999999999999E-2</v>
      </c>
      <c r="W16" s="814">
        <v>387.05</v>
      </c>
      <c r="X16" s="831">
        <v>0</v>
      </c>
      <c r="Y16" s="831">
        <v>37.81</v>
      </c>
      <c r="Z16" s="832">
        <v>0</v>
      </c>
      <c r="AA16" s="832">
        <v>0</v>
      </c>
      <c r="AB16" s="39">
        <f t="shared" si="6"/>
        <v>1248</v>
      </c>
      <c r="AC16" s="39">
        <f t="shared" si="30"/>
        <v>272</v>
      </c>
      <c r="AD16" s="39">
        <f t="shared" si="12"/>
        <v>144</v>
      </c>
      <c r="AE16" s="39">
        <f t="shared" si="7"/>
        <v>1664</v>
      </c>
      <c r="AF16" s="39">
        <f t="shared" si="2"/>
        <v>0</v>
      </c>
      <c r="AG16" s="39">
        <f t="shared" si="13"/>
        <v>0</v>
      </c>
      <c r="AH16" s="39">
        <f t="shared" si="31"/>
        <v>0</v>
      </c>
      <c r="AI16" s="39">
        <f t="shared" si="32"/>
        <v>1664</v>
      </c>
      <c r="AJ16" s="39">
        <f t="shared" si="14"/>
        <v>144</v>
      </c>
      <c r="AK16" s="39">
        <f t="shared" si="8"/>
        <v>1520</v>
      </c>
      <c r="AL16" s="125">
        <f t="shared" si="15"/>
        <v>51561.600000000006</v>
      </c>
      <c r="AM16" s="462">
        <f t="shared" si="33"/>
        <v>773.42400000000009</v>
      </c>
      <c r="AN16" s="125">
        <f t="shared" si="34"/>
        <v>52335.024000000005</v>
      </c>
      <c r="AO16" s="125">
        <f t="shared" si="3"/>
        <v>38671.200000000004</v>
      </c>
      <c r="AP16" s="125">
        <f t="shared" si="4"/>
        <v>9201.7624615384611</v>
      </c>
      <c r="AQ16" s="125">
        <f t="shared" si="5"/>
        <v>4462.0615384615394</v>
      </c>
      <c r="AR16" s="125">
        <f t="shared" si="16"/>
        <v>0</v>
      </c>
      <c r="AS16" s="125">
        <f t="shared" si="17"/>
        <v>0</v>
      </c>
      <c r="AT16" s="125">
        <f t="shared" si="35"/>
        <v>0</v>
      </c>
      <c r="AU16" s="125">
        <f t="shared" si="18"/>
        <v>1983.1384615384618</v>
      </c>
      <c r="AV16" s="125">
        <f t="shared" si="19"/>
        <v>2478.9230769230771</v>
      </c>
      <c r="AW16" s="125">
        <f t="shared" si="20"/>
        <v>0</v>
      </c>
      <c r="AX16" s="125">
        <f t="shared" si="36"/>
        <v>52335.024000000005</v>
      </c>
      <c r="AY16" s="125">
        <f t="shared" si="37"/>
        <v>4462.0615384615394</v>
      </c>
      <c r="AZ16" s="125">
        <f t="shared" si="21"/>
        <v>47872.962461538467</v>
      </c>
      <c r="BA16" s="39">
        <f>IF(AN13:AN39&lt;Fica_wages,AN13:AN39*Fica_rate,Fica_wages*Fica_rate)</f>
        <v>3244.7714880000003</v>
      </c>
      <c r="BB16" s="39">
        <f>IF(AN13:AN39&lt;Medicare_wages,AN13:AN39*Medicare_rate,Medicare_rate*Medicare_wages)</f>
        <v>758.8578480000001</v>
      </c>
      <c r="BC16" s="39">
        <f t="shared" si="38"/>
        <v>120.10888008000001</v>
      </c>
      <c r="BD16" s="39">
        <f t="shared" si="23"/>
        <v>56</v>
      </c>
      <c r="BE16" s="39">
        <f t="shared" ref="BE16:BE27" si="39">IF(AN16&gt;State_unemployment_amount,State_unemployment_amount*State_unemployment_rate,AN16*State_unemployment_rate)</f>
        <v>164.01</v>
      </c>
      <c r="BF16" s="39">
        <f>V13:V39*AN13:AN39</f>
        <v>785.02536000000009</v>
      </c>
      <c r="BG16" s="39">
        <f t="shared" si="24"/>
        <v>4644.6000000000004</v>
      </c>
      <c r="BH16" s="39">
        <f t="shared" si="25"/>
        <v>0</v>
      </c>
      <c r="BI16" s="39">
        <f t="shared" si="26"/>
        <v>453.72</v>
      </c>
      <c r="BJ16" s="39">
        <f>(BK13:BK39+AN13:AN39)*Retirement_plan_contribution_percent_of_base_pay</f>
        <v>1617.1522416</v>
      </c>
      <c r="BK16" s="39">
        <f t="shared" si="27"/>
        <v>1570.0507200000002</v>
      </c>
    </row>
    <row r="17" spans="1:63" s="14" customFormat="1" x14ac:dyDescent="0.2">
      <c r="A17" s="825" t="s">
        <v>100</v>
      </c>
      <c r="B17" s="826"/>
      <c r="C17" s="826">
        <v>10</v>
      </c>
      <c r="D17" s="826" t="s">
        <v>630</v>
      </c>
      <c r="E17" s="76">
        <f t="shared" si="0"/>
        <v>130341.12</v>
      </c>
      <c r="F17" s="822">
        <v>104.44</v>
      </c>
      <c r="G17" s="796">
        <v>0.75</v>
      </c>
      <c r="H17" s="796">
        <v>0.28000000000000003</v>
      </c>
      <c r="I17" s="796">
        <v>0.83</v>
      </c>
      <c r="J17" s="796">
        <v>0.84</v>
      </c>
      <c r="K17" s="49">
        <f t="shared" si="9"/>
        <v>118.18453834624759</v>
      </c>
      <c r="L17" s="36">
        <f t="shared" si="10"/>
        <v>30.986538461538466</v>
      </c>
      <c r="M17" s="39">
        <f t="shared" si="28"/>
        <v>51561.600000000006</v>
      </c>
      <c r="N17" s="828">
        <v>2148.4</v>
      </c>
      <c r="O17" s="829">
        <v>6.4</v>
      </c>
      <c r="P17" s="36">
        <f t="shared" si="29"/>
        <v>32</v>
      </c>
      <c r="Q17" s="830">
        <v>1</v>
      </c>
      <c r="R17" s="39">
        <f t="shared" si="11"/>
        <v>1664</v>
      </c>
      <c r="S17" s="814">
        <v>64</v>
      </c>
      <c r="T17" s="814">
        <v>80</v>
      </c>
      <c r="U17" s="814">
        <v>0</v>
      </c>
      <c r="V17" s="796">
        <v>5.0000000000000001E-3</v>
      </c>
      <c r="W17" s="814">
        <v>536.42999999999995</v>
      </c>
      <c r="X17" s="831">
        <v>149.38</v>
      </c>
      <c r="Y17" s="831">
        <v>37.81</v>
      </c>
      <c r="Z17" s="832">
        <v>0</v>
      </c>
      <c r="AA17" s="832">
        <v>0</v>
      </c>
      <c r="AB17" s="39">
        <f t="shared" si="6"/>
        <v>1248</v>
      </c>
      <c r="AC17" s="39">
        <f t="shared" si="30"/>
        <v>272</v>
      </c>
      <c r="AD17" s="39">
        <f t="shared" si="12"/>
        <v>144</v>
      </c>
      <c r="AE17" s="39">
        <f t="shared" si="7"/>
        <v>1664</v>
      </c>
      <c r="AF17" s="39">
        <f t="shared" si="2"/>
        <v>0</v>
      </c>
      <c r="AG17" s="39">
        <f t="shared" si="13"/>
        <v>0</v>
      </c>
      <c r="AH17" s="39">
        <f t="shared" si="31"/>
        <v>0</v>
      </c>
      <c r="AI17" s="39">
        <f t="shared" si="32"/>
        <v>1664</v>
      </c>
      <c r="AJ17" s="39">
        <f t="shared" si="14"/>
        <v>144</v>
      </c>
      <c r="AK17" s="39">
        <f t="shared" si="8"/>
        <v>1520</v>
      </c>
      <c r="AL17" s="125">
        <f t="shared" si="15"/>
        <v>51561.600000000006</v>
      </c>
      <c r="AM17" s="462">
        <f t="shared" si="33"/>
        <v>773.42400000000009</v>
      </c>
      <c r="AN17" s="125">
        <f t="shared" si="34"/>
        <v>52335.024000000005</v>
      </c>
      <c r="AO17" s="125">
        <f t="shared" si="3"/>
        <v>38671.200000000004</v>
      </c>
      <c r="AP17" s="125">
        <f t="shared" si="4"/>
        <v>9201.7624615384611</v>
      </c>
      <c r="AQ17" s="125">
        <f t="shared" si="5"/>
        <v>4462.0615384615394</v>
      </c>
      <c r="AR17" s="125">
        <f t="shared" si="16"/>
        <v>0</v>
      </c>
      <c r="AS17" s="125">
        <f t="shared" si="17"/>
        <v>0</v>
      </c>
      <c r="AT17" s="125">
        <f t="shared" si="35"/>
        <v>0</v>
      </c>
      <c r="AU17" s="125">
        <f t="shared" si="18"/>
        <v>1983.1384615384618</v>
      </c>
      <c r="AV17" s="125">
        <f t="shared" si="19"/>
        <v>2478.9230769230771</v>
      </c>
      <c r="AW17" s="125">
        <f t="shared" si="20"/>
        <v>0</v>
      </c>
      <c r="AX17" s="125">
        <f t="shared" si="36"/>
        <v>52335.024000000005</v>
      </c>
      <c r="AY17" s="125">
        <f t="shared" si="37"/>
        <v>4462.0615384615394</v>
      </c>
      <c r="AZ17" s="125">
        <f t="shared" si="21"/>
        <v>47872.962461538467</v>
      </c>
      <c r="BA17" s="39">
        <f>IF(AN16:AN40&lt;Fica_wages,AN16:AN40*Fica_rate,Fica_wages*Fica_rate)</f>
        <v>3244.7714880000003</v>
      </c>
      <c r="BB17" s="39">
        <f>IF(AN16:AN40&lt;Medicare_wages,AN16:AN40*Medicare_rate,Medicare_rate*Medicare_wages)</f>
        <v>758.8578480000001</v>
      </c>
      <c r="BC17" s="39">
        <f t="shared" si="38"/>
        <v>120.10888008000001</v>
      </c>
      <c r="BD17" s="39">
        <f t="shared" si="23"/>
        <v>56</v>
      </c>
      <c r="BE17" s="39">
        <f t="shared" si="39"/>
        <v>164.01</v>
      </c>
      <c r="BF17" s="39">
        <f>V16:V40*AN16:AN40</f>
        <v>261.67512000000005</v>
      </c>
      <c r="BG17" s="39">
        <f t="shared" si="24"/>
        <v>6437.16</v>
      </c>
      <c r="BH17" s="39">
        <f t="shared" si="25"/>
        <v>-1792.56</v>
      </c>
      <c r="BI17" s="39">
        <f t="shared" si="26"/>
        <v>453.72</v>
      </c>
      <c r="BJ17" s="39">
        <f>(BK14:BK40+AN14:AN40)*Retirement_plan_contribution_percent_of_base_pay</f>
        <v>1617.1522416</v>
      </c>
      <c r="BK17" s="39">
        <f t="shared" si="27"/>
        <v>1570.0507200000002</v>
      </c>
    </row>
    <row r="18" spans="1:63" s="14" customFormat="1" x14ac:dyDescent="0.2">
      <c r="A18" s="825" t="s">
        <v>102</v>
      </c>
      <c r="B18" s="826"/>
      <c r="C18" s="826">
        <v>10</v>
      </c>
      <c r="D18" s="826" t="s">
        <v>630</v>
      </c>
      <c r="E18" s="76">
        <f t="shared" si="0"/>
        <v>128905.92000000001</v>
      </c>
      <c r="F18" s="822">
        <v>103.29</v>
      </c>
      <c r="G18" s="796">
        <v>0.75</v>
      </c>
      <c r="H18" s="796">
        <v>0.79</v>
      </c>
      <c r="I18" s="796">
        <v>0.91</v>
      </c>
      <c r="J18" s="796">
        <v>0.93</v>
      </c>
      <c r="K18" s="49">
        <f t="shared" si="9"/>
        <v>116.91929705879474</v>
      </c>
      <c r="L18" s="36">
        <f t="shared" si="10"/>
        <v>30.654807692307696</v>
      </c>
      <c r="M18" s="39">
        <f t="shared" si="28"/>
        <v>51009.600000000006</v>
      </c>
      <c r="N18" s="828">
        <v>2125.4</v>
      </c>
      <c r="O18" s="829">
        <v>6.4</v>
      </c>
      <c r="P18" s="36">
        <f t="shared" si="29"/>
        <v>32</v>
      </c>
      <c r="Q18" s="830">
        <v>1</v>
      </c>
      <c r="R18" s="39">
        <f t="shared" si="11"/>
        <v>1664</v>
      </c>
      <c r="S18" s="814">
        <v>64</v>
      </c>
      <c r="T18" s="814">
        <v>80</v>
      </c>
      <c r="U18" s="814">
        <v>0</v>
      </c>
      <c r="V18" s="796">
        <v>5.0000000000000001E-3</v>
      </c>
      <c r="W18" s="814">
        <v>536.42999999999995</v>
      </c>
      <c r="X18" s="831">
        <v>149.38</v>
      </c>
      <c r="Y18" s="831">
        <v>37.4</v>
      </c>
      <c r="Z18" s="832">
        <v>0</v>
      </c>
      <c r="AA18" s="832">
        <v>0</v>
      </c>
      <c r="AB18" s="39">
        <f t="shared" si="6"/>
        <v>1248</v>
      </c>
      <c r="AC18" s="39">
        <f t="shared" si="30"/>
        <v>272</v>
      </c>
      <c r="AD18" s="39">
        <f t="shared" si="12"/>
        <v>144</v>
      </c>
      <c r="AE18" s="39">
        <f t="shared" si="7"/>
        <v>1664</v>
      </c>
      <c r="AF18" s="39">
        <f t="shared" si="2"/>
        <v>0</v>
      </c>
      <c r="AG18" s="39">
        <f t="shared" si="13"/>
        <v>0</v>
      </c>
      <c r="AH18" s="39">
        <f t="shared" si="31"/>
        <v>0</v>
      </c>
      <c r="AI18" s="39">
        <f t="shared" si="32"/>
        <v>1664</v>
      </c>
      <c r="AJ18" s="39">
        <f t="shared" si="14"/>
        <v>144</v>
      </c>
      <c r="AK18" s="39">
        <f t="shared" si="8"/>
        <v>1520</v>
      </c>
      <c r="AL18" s="125">
        <f t="shared" si="15"/>
        <v>51009.600000000006</v>
      </c>
      <c r="AM18" s="462">
        <f t="shared" si="33"/>
        <v>765.14400000000001</v>
      </c>
      <c r="AN18" s="125">
        <f t="shared" si="34"/>
        <v>51774.744000000006</v>
      </c>
      <c r="AO18" s="125">
        <f t="shared" si="3"/>
        <v>38257.200000000004</v>
      </c>
      <c r="AP18" s="125">
        <f t="shared" si="4"/>
        <v>9103.2516923076946</v>
      </c>
      <c r="AQ18" s="125">
        <f t="shared" si="5"/>
        <v>4414.292307692308</v>
      </c>
      <c r="AR18" s="125">
        <f t="shared" si="16"/>
        <v>0</v>
      </c>
      <c r="AS18" s="125">
        <f t="shared" si="17"/>
        <v>0</v>
      </c>
      <c r="AT18" s="125">
        <f t="shared" si="35"/>
        <v>0</v>
      </c>
      <c r="AU18" s="125">
        <f t="shared" si="18"/>
        <v>1961.9076923076925</v>
      </c>
      <c r="AV18" s="125">
        <f t="shared" si="19"/>
        <v>2452.3846153846157</v>
      </c>
      <c r="AW18" s="125">
        <f t="shared" si="20"/>
        <v>0</v>
      </c>
      <c r="AX18" s="125">
        <f t="shared" si="36"/>
        <v>51774.744000000013</v>
      </c>
      <c r="AY18" s="125">
        <f t="shared" si="37"/>
        <v>4414.292307692308</v>
      </c>
      <c r="AZ18" s="125">
        <f t="shared" si="21"/>
        <v>47360.451692307695</v>
      </c>
      <c r="BA18" s="39">
        <f>IF(AN14:AN40&lt;Fica_wages,AN14:AN40*Fica_rate,Fica_wages*Fica_rate)</f>
        <v>3210.0341280000002</v>
      </c>
      <c r="BB18" s="39">
        <f>IF(AN14:AN40&lt;Medicare_wages,AN14:AN40*Medicare_rate,Medicare_rate*Medicare_wages)</f>
        <v>750.73378800000012</v>
      </c>
      <c r="BC18" s="39">
        <f t="shared" si="38"/>
        <v>118.82303748</v>
      </c>
      <c r="BD18" s="39">
        <f t="shared" si="23"/>
        <v>56</v>
      </c>
      <c r="BE18" s="39">
        <f t="shared" si="39"/>
        <v>164.01</v>
      </c>
      <c r="BF18" s="39">
        <f>V14:V40*AN14:AN40</f>
        <v>258.87372000000005</v>
      </c>
      <c r="BG18" s="39">
        <f t="shared" si="24"/>
        <v>6437.16</v>
      </c>
      <c r="BH18" s="39">
        <f t="shared" si="25"/>
        <v>-1792.56</v>
      </c>
      <c r="BI18" s="39">
        <f t="shared" si="26"/>
        <v>448.79999999999995</v>
      </c>
      <c r="BJ18" s="39">
        <f>(BK16:BK40+AN16:AN40)*Retirement_plan_contribution_percent_of_base_pay</f>
        <v>1599.8395896</v>
      </c>
      <c r="BK18" s="39">
        <f t="shared" si="27"/>
        <v>1553.2423200000001</v>
      </c>
    </row>
    <row r="19" spans="1:63" s="14" customFormat="1" x14ac:dyDescent="0.2">
      <c r="A19" s="825" t="s">
        <v>104</v>
      </c>
      <c r="B19" s="826"/>
      <c r="C19" s="826">
        <v>10</v>
      </c>
      <c r="D19" s="826" t="s">
        <v>630</v>
      </c>
      <c r="E19" s="76">
        <f t="shared" si="0"/>
        <v>117761.28</v>
      </c>
      <c r="F19" s="822">
        <v>94.36</v>
      </c>
      <c r="G19" s="796">
        <v>0.75</v>
      </c>
      <c r="H19" s="796">
        <v>0.34</v>
      </c>
      <c r="I19" s="796">
        <v>0.56000000000000005</v>
      </c>
      <c r="J19" s="796">
        <v>0.51</v>
      </c>
      <c r="K19" s="49">
        <f t="shared" si="9"/>
        <v>106.79351602481883</v>
      </c>
      <c r="L19" s="36">
        <f t="shared" si="10"/>
        <v>27.999951923076921</v>
      </c>
      <c r="M19" s="39">
        <f t="shared" si="28"/>
        <v>46591.92</v>
      </c>
      <c r="N19" s="828">
        <v>1941.33</v>
      </c>
      <c r="O19" s="829">
        <v>6.4</v>
      </c>
      <c r="P19" s="36">
        <f t="shared" si="29"/>
        <v>32</v>
      </c>
      <c r="Q19" s="830">
        <v>1</v>
      </c>
      <c r="R19" s="39">
        <f t="shared" si="11"/>
        <v>1664</v>
      </c>
      <c r="S19" s="814">
        <v>64</v>
      </c>
      <c r="T19" s="814">
        <v>80</v>
      </c>
      <c r="U19" s="814">
        <v>0</v>
      </c>
      <c r="V19" s="796">
        <v>5.0000000000000001E-3</v>
      </c>
      <c r="W19" s="814">
        <v>1507.71</v>
      </c>
      <c r="X19" s="831">
        <v>425.72</v>
      </c>
      <c r="Y19" s="831">
        <v>34.17</v>
      </c>
      <c r="Z19" s="832">
        <v>0</v>
      </c>
      <c r="AA19" s="832">
        <v>0</v>
      </c>
      <c r="AB19" s="39">
        <f t="shared" si="6"/>
        <v>1248</v>
      </c>
      <c r="AC19" s="39">
        <f t="shared" si="30"/>
        <v>272</v>
      </c>
      <c r="AD19" s="39">
        <f t="shared" si="12"/>
        <v>144</v>
      </c>
      <c r="AE19" s="39">
        <f t="shared" si="7"/>
        <v>1664</v>
      </c>
      <c r="AF19" s="39">
        <f t="shared" si="2"/>
        <v>0</v>
      </c>
      <c r="AG19" s="39">
        <f t="shared" si="13"/>
        <v>0</v>
      </c>
      <c r="AH19" s="39">
        <f t="shared" si="31"/>
        <v>0</v>
      </c>
      <c r="AI19" s="39">
        <f t="shared" si="32"/>
        <v>1664</v>
      </c>
      <c r="AJ19" s="39">
        <f t="shared" si="14"/>
        <v>144</v>
      </c>
      <c r="AK19" s="39">
        <f t="shared" si="8"/>
        <v>1520</v>
      </c>
      <c r="AL19" s="125">
        <f t="shared" si="15"/>
        <v>46591.92</v>
      </c>
      <c r="AM19" s="462">
        <f t="shared" si="33"/>
        <v>698.87879999999996</v>
      </c>
      <c r="AN19" s="125">
        <f t="shared" si="34"/>
        <v>47290.798799999997</v>
      </c>
      <c r="AO19" s="125">
        <f t="shared" si="3"/>
        <v>34943.939999999995</v>
      </c>
      <c r="AP19" s="125">
        <f t="shared" si="4"/>
        <v>8314.865723076924</v>
      </c>
      <c r="AQ19" s="125">
        <f t="shared" si="5"/>
        <v>4031.9930769230768</v>
      </c>
      <c r="AR19" s="125">
        <f t="shared" si="16"/>
        <v>0</v>
      </c>
      <c r="AS19" s="125">
        <f t="shared" si="17"/>
        <v>0</v>
      </c>
      <c r="AT19" s="125">
        <f t="shared" si="35"/>
        <v>0</v>
      </c>
      <c r="AU19" s="125">
        <f t="shared" si="18"/>
        <v>1791.9969230769229</v>
      </c>
      <c r="AV19" s="125">
        <f t="shared" si="19"/>
        <v>2239.9961538461539</v>
      </c>
      <c r="AW19" s="125">
        <f t="shared" si="20"/>
        <v>0</v>
      </c>
      <c r="AX19" s="125">
        <f t="shared" si="36"/>
        <v>47290.798799999997</v>
      </c>
      <c r="AY19" s="125">
        <f t="shared" si="37"/>
        <v>4031.9930769230768</v>
      </c>
      <c r="AZ19" s="125">
        <f t="shared" si="21"/>
        <v>43258.805723076919</v>
      </c>
      <c r="BA19" s="39">
        <f>IF(AN19:AN40&lt;Fica_wages,AN19:AN40*Fica_rate,Fica_wages*Fica_rate)</f>
        <v>2932.0295255999999</v>
      </c>
      <c r="BB19" s="39">
        <f>IF(AN19:AN40&lt;Medicare_wages,AN19:AN40*Medicare_rate,Medicare_rate*Medicare_wages)</f>
        <v>685.71658260000004</v>
      </c>
      <c r="BC19" s="39">
        <f t="shared" si="38"/>
        <v>108.53238324599998</v>
      </c>
      <c r="BD19" s="39">
        <f t="shared" si="23"/>
        <v>56</v>
      </c>
      <c r="BE19" s="39">
        <f t="shared" si="39"/>
        <v>164.01</v>
      </c>
      <c r="BF19" s="39">
        <f>V16:V40*AN16:AN40</f>
        <v>236.45399399999999</v>
      </c>
      <c r="BG19" s="39">
        <f t="shared" si="24"/>
        <v>18092.52</v>
      </c>
      <c r="BH19" s="39">
        <f t="shared" si="25"/>
        <v>-5108.6400000000003</v>
      </c>
      <c r="BI19" s="39">
        <f t="shared" si="26"/>
        <v>410.04</v>
      </c>
      <c r="BJ19" s="39">
        <f>(BK12:BK40+AN12:AN40)*Retirement_plan_contribution_percent_of_base_pay</f>
        <v>1461.2856829199998</v>
      </c>
      <c r="BK19" s="39">
        <f t="shared" si="27"/>
        <v>1418.7239639999998</v>
      </c>
    </row>
    <row r="20" spans="1:63" s="14" customFormat="1" x14ac:dyDescent="0.2">
      <c r="A20" s="825" t="s">
        <v>105</v>
      </c>
      <c r="B20" s="826"/>
      <c r="C20" s="826">
        <v>10</v>
      </c>
      <c r="D20" s="826" t="s">
        <v>630</v>
      </c>
      <c r="E20" s="76">
        <f t="shared" si="0"/>
        <v>117761.28</v>
      </c>
      <c r="F20" s="822">
        <v>94.36</v>
      </c>
      <c r="G20" s="796">
        <v>0.75</v>
      </c>
      <c r="H20" s="796">
        <v>0.8</v>
      </c>
      <c r="I20" s="796">
        <v>0.76</v>
      </c>
      <c r="J20" s="796">
        <v>0.72</v>
      </c>
      <c r="K20" s="49">
        <f t="shared" si="9"/>
        <v>106.79351602481883</v>
      </c>
      <c r="L20" s="36">
        <f t="shared" si="10"/>
        <v>27.999951923076921</v>
      </c>
      <c r="M20" s="39">
        <f t="shared" si="28"/>
        <v>46591.92</v>
      </c>
      <c r="N20" s="828">
        <v>1941.33</v>
      </c>
      <c r="O20" s="829">
        <v>6.4</v>
      </c>
      <c r="P20" s="36">
        <f t="shared" si="29"/>
        <v>32</v>
      </c>
      <c r="Q20" s="830">
        <v>1</v>
      </c>
      <c r="R20" s="39">
        <f t="shared" si="11"/>
        <v>1664</v>
      </c>
      <c r="S20" s="814">
        <v>64</v>
      </c>
      <c r="T20" s="814">
        <v>80</v>
      </c>
      <c r="U20" s="814">
        <v>0</v>
      </c>
      <c r="V20" s="796">
        <v>5.0000000000000001E-3</v>
      </c>
      <c r="W20" s="814">
        <v>387.05</v>
      </c>
      <c r="X20" s="831">
        <v>0</v>
      </c>
      <c r="Y20" s="831">
        <v>34.17</v>
      </c>
      <c r="Z20" s="832">
        <v>0</v>
      </c>
      <c r="AA20" s="832">
        <v>0</v>
      </c>
      <c r="AB20" s="39">
        <f t="shared" si="6"/>
        <v>1248</v>
      </c>
      <c r="AC20" s="39">
        <f t="shared" si="30"/>
        <v>272</v>
      </c>
      <c r="AD20" s="39">
        <f t="shared" si="12"/>
        <v>144</v>
      </c>
      <c r="AE20" s="39">
        <f t="shared" si="7"/>
        <v>1664</v>
      </c>
      <c r="AF20" s="39">
        <f t="shared" si="2"/>
        <v>0</v>
      </c>
      <c r="AG20" s="39">
        <f t="shared" si="13"/>
        <v>0</v>
      </c>
      <c r="AH20" s="39">
        <f t="shared" si="31"/>
        <v>0</v>
      </c>
      <c r="AI20" s="39">
        <f t="shared" si="32"/>
        <v>1664</v>
      </c>
      <c r="AJ20" s="39">
        <f t="shared" si="14"/>
        <v>144</v>
      </c>
      <c r="AK20" s="39">
        <f t="shared" si="8"/>
        <v>1520</v>
      </c>
      <c r="AL20" s="125">
        <f t="shared" si="15"/>
        <v>46591.92</v>
      </c>
      <c r="AM20" s="462">
        <f t="shared" si="33"/>
        <v>698.87879999999996</v>
      </c>
      <c r="AN20" s="125">
        <f t="shared" si="34"/>
        <v>47290.798799999997</v>
      </c>
      <c r="AO20" s="125">
        <f t="shared" si="3"/>
        <v>34943.939999999995</v>
      </c>
      <c r="AP20" s="125">
        <f t="shared" si="4"/>
        <v>8314.865723076924</v>
      </c>
      <c r="AQ20" s="125">
        <f t="shared" si="5"/>
        <v>4031.9930769230768</v>
      </c>
      <c r="AR20" s="125">
        <f t="shared" si="16"/>
        <v>0</v>
      </c>
      <c r="AS20" s="125">
        <f t="shared" si="17"/>
        <v>0</v>
      </c>
      <c r="AT20" s="125">
        <f t="shared" si="35"/>
        <v>0</v>
      </c>
      <c r="AU20" s="125">
        <f t="shared" si="18"/>
        <v>1791.9969230769229</v>
      </c>
      <c r="AV20" s="125">
        <f t="shared" si="19"/>
        <v>2239.9961538461539</v>
      </c>
      <c r="AW20" s="125">
        <f t="shared" si="20"/>
        <v>0</v>
      </c>
      <c r="AX20" s="125">
        <f t="shared" si="36"/>
        <v>47290.798799999997</v>
      </c>
      <c r="AY20" s="125">
        <f t="shared" si="37"/>
        <v>4031.9930769230768</v>
      </c>
      <c r="AZ20" s="125">
        <f t="shared" si="21"/>
        <v>43258.805723076919</v>
      </c>
      <c r="BA20" s="39">
        <f>IF(AN20:AN40&lt;Fica_wages,AN20:AN40*Fica_rate,Fica_wages*Fica_rate)</f>
        <v>2932.0295255999999</v>
      </c>
      <c r="BB20" s="39">
        <f>IF(AN20:AN40&lt;Medicare_wages,AN20:AN40*Medicare_rate,Medicare_rate*Medicare_wages)</f>
        <v>685.71658260000004</v>
      </c>
      <c r="BC20" s="39">
        <f t="shared" si="38"/>
        <v>108.53238324599998</v>
      </c>
      <c r="BD20" s="39">
        <f t="shared" si="23"/>
        <v>56</v>
      </c>
      <c r="BE20" s="39">
        <f t="shared" si="39"/>
        <v>164.01</v>
      </c>
      <c r="BF20" s="39">
        <f>V16:V40*AN16:AN40</f>
        <v>236.45399399999999</v>
      </c>
      <c r="BG20" s="39">
        <f t="shared" si="24"/>
        <v>4644.6000000000004</v>
      </c>
      <c r="BH20" s="39">
        <f t="shared" si="25"/>
        <v>0</v>
      </c>
      <c r="BI20" s="39">
        <f t="shared" si="26"/>
        <v>410.04</v>
      </c>
      <c r="BJ20" s="39">
        <f>(BK19:BK40+AN19:AN40)*Retirement_plan_contribution_percent_of_base_pay</f>
        <v>1461.2856829199998</v>
      </c>
      <c r="BK20" s="39">
        <f t="shared" si="27"/>
        <v>1418.7239639999998</v>
      </c>
    </row>
    <row r="21" spans="1:63" s="14" customFormat="1" x14ac:dyDescent="0.2">
      <c r="A21" s="825" t="s">
        <v>107</v>
      </c>
      <c r="B21" s="826"/>
      <c r="C21" s="826">
        <v>10</v>
      </c>
      <c r="D21" s="826" t="s">
        <v>630</v>
      </c>
      <c r="E21" s="76">
        <f t="shared" si="0"/>
        <v>113555.51999999999</v>
      </c>
      <c r="F21" s="822">
        <v>90.99</v>
      </c>
      <c r="G21" s="796">
        <v>0.75</v>
      </c>
      <c r="H21" s="796">
        <v>0.85</v>
      </c>
      <c r="I21" s="796">
        <v>0.6</v>
      </c>
      <c r="J21" s="796">
        <v>0.66</v>
      </c>
      <c r="K21" s="49">
        <f t="shared" si="9"/>
        <v>102.97963870050989</v>
      </c>
      <c r="L21" s="36">
        <f t="shared" si="10"/>
        <v>27</v>
      </c>
      <c r="M21" s="39">
        <f t="shared" si="28"/>
        <v>44928</v>
      </c>
      <c r="N21" s="828">
        <v>1872</v>
      </c>
      <c r="O21" s="829">
        <v>6.4</v>
      </c>
      <c r="P21" s="36">
        <f t="shared" si="29"/>
        <v>32</v>
      </c>
      <c r="Q21" s="830">
        <v>1</v>
      </c>
      <c r="R21" s="39">
        <f t="shared" si="11"/>
        <v>1664</v>
      </c>
      <c r="S21" s="814">
        <v>64</v>
      </c>
      <c r="T21" s="814">
        <v>80</v>
      </c>
      <c r="U21" s="814">
        <v>0</v>
      </c>
      <c r="V21" s="796">
        <v>5.0000000000000001E-3</v>
      </c>
      <c r="W21" s="814">
        <v>536.42999999999995</v>
      </c>
      <c r="X21" s="831">
        <v>149.38</v>
      </c>
      <c r="Y21" s="831">
        <v>32.94</v>
      </c>
      <c r="Z21" s="832">
        <v>0</v>
      </c>
      <c r="AA21" s="832">
        <v>0</v>
      </c>
      <c r="AB21" s="39">
        <f t="shared" si="6"/>
        <v>1248</v>
      </c>
      <c r="AC21" s="39">
        <f t="shared" si="30"/>
        <v>272</v>
      </c>
      <c r="AD21" s="39">
        <f t="shared" si="12"/>
        <v>144</v>
      </c>
      <c r="AE21" s="39">
        <f t="shared" si="7"/>
        <v>1664</v>
      </c>
      <c r="AF21" s="39">
        <f t="shared" si="2"/>
        <v>0</v>
      </c>
      <c r="AG21" s="39">
        <f t="shared" si="13"/>
        <v>0</v>
      </c>
      <c r="AH21" s="39">
        <f t="shared" si="31"/>
        <v>0</v>
      </c>
      <c r="AI21" s="39">
        <f t="shared" si="32"/>
        <v>1664</v>
      </c>
      <c r="AJ21" s="39">
        <f t="shared" si="14"/>
        <v>144</v>
      </c>
      <c r="AK21" s="39">
        <f t="shared" si="8"/>
        <v>1520</v>
      </c>
      <c r="AL21" s="125">
        <f t="shared" si="15"/>
        <v>44928</v>
      </c>
      <c r="AM21" s="462">
        <f t="shared" si="33"/>
        <v>673.92</v>
      </c>
      <c r="AN21" s="125">
        <f t="shared" si="34"/>
        <v>45601.919999999998</v>
      </c>
      <c r="AO21" s="125">
        <f t="shared" si="3"/>
        <v>33696</v>
      </c>
      <c r="AP21" s="125">
        <f t="shared" si="4"/>
        <v>8017.9199999999983</v>
      </c>
      <c r="AQ21" s="125">
        <f t="shared" si="5"/>
        <v>3888</v>
      </c>
      <c r="AR21" s="125">
        <f t="shared" si="16"/>
        <v>0</v>
      </c>
      <c r="AS21" s="125">
        <f t="shared" si="17"/>
        <v>0</v>
      </c>
      <c r="AT21" s="125">
        <f t="shared" si="35"/>
        <v>0</v>
      </c>
      <c r="AU21" s="125">
        <f t="shared" si="18"/>
        <v>1728</v>
      </c>
      <c r="AV21" s="125">
        <f t="shared" si="19"/>
        <v>2160</v>
      </c>
      <c r="AW21" s="125">
        <f t="shared" si="20"/>
        <v>0</v>
      </c>
      <c r="AX21" s="125">
        <f t="shared" si="36"/>
        <v>45601.919999999998</v>
      </c>
      <c r="AY21" s="125">
        <f t="shared" si="37"/>
        <v>3888</v>
      </c>
      <c r="AZ21" s="125">
        <f t="shared" si="21"/>
        <v>41713.919999999998</v>
      </c>
      <c r="BA21" s="39">
        <f>IF(AN21:AN40&lt;Fica_wages,AN21:AN40*Fica_rate,Fica_wages*Fica_rate)</f>
        <v>2827.3190399999999</v>
      </c>
      <c r="BB21" s="39">
        <f>IF(AN21:AN40&lt;Medicare_wages,AN21:AN40*Medicare_rate,Medicare_rate*Medicare_wages)</f>
        <v>661.22784000000001</v>
      </c>
      <c r="BC21" s="39">
        <f t="shared" si="38"/>
        <v>104.65640639999998</v>
      </c>
      <c r="BD21" s="39">
        <f t="shared" si="23"/>
        <v>56</v>
      </c>
      <c r="BE21" s="39">
        <f t="shared" si="39"/>
        <v>164.01</v>
      </c>
      <c r="BF21" s="39">
        <f>V21:V40*AN21:AN40</f>
        <v>228.00960000000001</v>
      </c>
      <c r="BG21" s="39">
        <f t="shared" si="24"/>
        <v>6437.16</v>
      </c>
      <c r="BH21" s="39">
        <f t="shared" si="25"/>
        <v>-1792.56</v>
      </c>
      <c r="BI21" s="39">
        <f t="shared" si="26"/>
        <v>395.28</v>
      </c>
      <c r="BJ21" s="39">
        <f>(BK20:BK40+AN20:AN40)*Retirement_plan_contribution_percent_of_base_pay</f>
        <v>1409.0993279999998</v>
      </c>
      <c r="BK21" s="39">
        <f t="shared" si="27"/>
        <v>1368.0575999999999</v>
      </c>
    </row>
    <row r="22" spans="1:63" s="14" customFormat="1" x14ac:dyDescent="0.2">
      <c r="A22" s="825" t="s">
        <v>108</v>
      </c>
      <c r="B22" s="826"/>
      <c r="C22" s="826">
        <v>10</v>
      </c>
      <c r="D22" s="826" t="s">
        <v>630</v>
      </c>
      <c r="E22" s="76">
        <f t="shared" si="0"/>
        <v>111196.79999999999</v>
      </c>
      <c r="F22" s="822">
        <v>89.1</v>
      </c>
      <c r="G22" s="796">
        <v>0.75</v>
      </c>
      <c r="H22" s="796">
        <v>0.77</v>
      </c>
      <c r="I22" s="796">
        <v>1.01</v>
      </c>
      <c r="J22" s="796">
        <v>0</v>
      </c>
      <c r="K22" s="49">
        <f t="shared" si="9"/>
        <v>100.85238302286635</v>
      </c>
      <c r="L22" s="36">
        <f t="shared" si="10"/>
        <v>26.442259615384614</v>
      </c>
      <c r="M22" s="39">
        <f t="shared" si="28"/>
        <v>43999.92</v>
      </c>
      <c r="N22" s="828">
        <v>1833.33</v>
      </c>
      <c r="O22" s="829">
        <v>6.4</v>
      </c>
      <c r="P22" s="36">
        <f t="shared" si="29"/>
        <v>32</v>
      </c>
      <c r="Q22" s="830">
        <v>1</v>
      </c>
      <c r="R22" s="39">
        <f t="shared" si="11"/>
        <v>1664</v>
      </c>
      <c r="S22" s="814">
        <v>64</v>
      </c>
      <c r="T22" s="814">
        <v>80</v>
      </c>
      <c r="U22" s="814">
        <v>0</v>
      </c>
      <c r="V22" s="796">
        <v>5.0000000000000001E-3</v>
      </c>
      <c r="W22" s="814">
        <v>387.05</v>
      </c>
      <c r="X22" s="831">
        <v>0</v>
      </c>
      <c r="Y22" s="831">
        <v>32.270000000000003</v>
      </c>
      <c r="Z22" s="832">
        <v>0</v>
      </c>
      <c r="AA22" s="832">
        <v>0</v>
      </c>
      <c r="AB22" s="39">
        <f t="shared" si="6"/>
        <v>1248</v>
      </c>
      <c r="AC22" s="39">
        <f t="shared" si="30"/>
        <v>272</v>
      </c>
      <c r="AD22" s="39">
        <f t="shared" si="12"/>
        <v>144</v>
      </c>
      <c r="AE22" s="39">
        <f t="shared" si="7"/>
        <v>1664</v>
      </c>
      <c r="AF22" s="39">
        <f t="shared" si="2"/>
        <v>0</v>
      </c>
      <c r="AG22" s="39">
        <f t="shared" si="13"/>
        <v>0</v>
      </c>
      <c r="AH22" s="39">
        <f t="shared" si="31"/>
        <v>0</v>
      </c>
      <c r="AI22" s="39">
        <f t="shared" si="32"/>
        <v>1664</v>
      </c>
      <c r="AJ22" s="39">
        <f t="shared" si="14"/>
        <v>144</v>
      </c>
      <c r="AK22" s="39">
        <f t="shared" si="8"/>
        <v>1520</v>
      </c>
      <c r="AL22" s="125">
        <f t="shared" si="15"/>
        <v>43999.92</v>
      </c>
      <c r="AM22" s="462">
        <f t="shared" si="33"/>
        <v>659.99879999999996</v>
      </c>
      <c r="AN22" s="125">
        <f t="shared" si="34"/>
        <v>44659.918799999999</v>
      </c>
      <c r="AO22" s="125">
        <f t="shared" si="3"/>
        <v>32999.94</v>
      </c>
      <c r="AP22" s="125">
        <f t="shared" si="4"/>
        <v>7852.2934153846127</v>
      </c>
      <c r="AQ22" s="125">
        <f t="shared" si="5"/>
        <v>3807.6853846153845</v>
      </c>
      <c r="AR22" s="125">
        <f t="shared" si="16"/>
        <v>0</v>
      </c>
      <c r="AS22" s="125">
        <f t="shared" si="17"/>
        <v>0</v>
      </c>
      <c r="AT22" s="125">
        <f t="shared" si="35"/>
        <v>0</v>
      </c>
      <c r="AU22" s="125">
        <f t="shared" si="18"/>
        <v>1692.3046153846153</v>
      </c>
      <c r="AV22" s="125">
        <f t="shared" si="19"/>
        <v>2115.3807692307691</v>
      </c>
      <c r="AW22" s="125">
        <f t="shared" si="20"/>
        <v>0</v>
      </c>
      <c r="AX22" s="125">
        <f t="shared" si="36"/>
        <v>44659.918799999999</v>
      </c>
      <c r="AY22" s="125">
        <f t="shared" si="37"/>
        <v>3807.6853846153845</v>
      </c>
      <c r="AZ22" s="125">
        <f t="shared" si="21"/>
        <v>40852.233415384617</v>
      </c>
      <c r="BA22" s="39">
        <f>IF(AN12:AN39&lt;Fica_wages,AN12:AN39*Fica_rate,Fica_wages*Fica_rate)</f>
        <v>2768.9149656</v>
      </c>
      <c r="BB22" s="39">
        <f>IF(AN12:AN39&lt;Medicare_wages,AN12:AN39*Medicare_rate,Medicare_rate*Medicare_wages)</f>
        <v>647.56882259999998</v>
      </c>
      <c r="BC22" s="39">
        <f t="shared" si="38"/>
        <v>102.494513646</v>
      </c>
      <c r="BD22" s="39">
        <f t="shared" si="23"/>
        <v>56</v>
      </c>
      <c r="BE22" s="39">
        <f t="shared" si="39"/>
        <v>164.01</v>
      </c>
      <c r="BF22" s="39">
        <f>V12:V39*AN12:AN39</f>
        <v>223.29959400000001</v>
      </c>
      <c r="BG22" s="39">
        <f t="shared" si="24"/>
        <v>4644.6000000000004</v>
      </c>
      <c r="BH22" s="39">
        <f t="shared" si="25"/>
        <v>0</v>
      </c>
      <c r="BI22" s="39">
        <f t="shared" si="26"/>
        <v>387.24</v>
      </c>
      <c r="BJ22" s="39">
        <f>(BK12:BK39+AN12:AN39)*Retirement_plan_contribution_percent_of_base_pay</f>
        <v>1379.9914909199999</v>
      </c>
      <c r="BK22" s="39">
        <f t="shared" si="27"/>
        <v>1339.797564</v>
      </c>
    </row>
    <row r="23" spans="1:63" s="14" customFormat="1" x14ac:dyDescent="0.2">
      <c r="A23" s="825" t="s">
        <v>1004</v>
      </c>
      <c r="B23" s="826"/>
      <c r="C23" s="826">
        <v>10</v>
      </c>
      <c r="D23" s="826" t="s">
        <v>630</v>
      </c>
      <c r="E23" s="76">
        <f t="shared" si="0"/>
        <v>107253.12</v>
      </c>
      <c r="F23" s="822">
        <v>85.94</v>
      </c>
      <c r="G23" s="796">
        <v>0.75</v>
      </c>
      <c r="H23" s="796">
        <v>1</v>
      </c>
      <c r="I23" s="796">
        <v>0.91</v>
      </c>
      <c r="J23" s="796">
        <v>0.9</v>
      </c>
      <c r="K23" s="49">
        <f t="shared" si="9"/>
        <v>97.258547661592672</v>
      </c>
      <c r="L23" s="36">
        <f t="shared" si="10"/>
        <v>25.5</v>
      </c>
      <c r="M23" s="39">
        <f t="shared" si="28"/>
        <v>42432</v>
      </c>
      <c r="N23" s="828">
        <v>1768</v>
      </c>
      <c r="O23" s="829">
        <v>6.4</v>
      </c>
      <c r="P23" s="36">
        <f t="shared" si="29"/>
        <v>32</v>
      </c>
      <c r="Q23" s="830">
        <v>1</v>
      </c>
      <c r="R23" s="39">
        <f t="shared" si="11"/>
        <v>1664</v>
      </c>
      <c r="S23" s="814">
        <v>64</v>
      </c>
      <c r="T23" s="814">
        <v>80</v>
      </c>
      <c r="U23" s="814">
        <v>0</v>
      </c>
      <c r="V23" s="796">
        <v>5.0000000000000001E-3</v>
      </c>
      <c r="W23" s="814">
        <v>0</v>
      </c>
      <c r="X23" s="831">
        <v>0</v>
      </c>
      <c r="Y23" s="831">
        <v>31.12</v>
      </c>
      <c r="Z23" s="832">
        <v>0</v>
      </c>
      <c r="AA23" s="832">
        <v>0</v>
      </c>
      <c r="AB23" s="39">
        <f t="shared" si="6"/>
        <v>1248</v>
      </c>
      <c r="AC23" s="39">
        <f t="shared" si="30"/>
        <v>272</v>
      </c>
      <c r="AD23" s="39">
        <f t="shared" si="12"/>
        <v>144</v>
      </c>
      <c r="AE23" s="39">
        <f t="shared" si="7"/>
        <v>1664</v>
      </c>
      <c r="AF23" s="39">
        <f t="shared" si="2"/>
        <v>0</v>
      </c>
      <c r="AG23" s="39">
        <f t="shared" si="13"/>
        <v>0</v>
      </c>
      <c r="AH23" s="39">
        <f t="shared" si="31"/>
        <v>0</v>
      </c>
      <c r="AI23" s="39">
        <f t="shared" si="32"/>
        <v>1664</v>
      </c>
      <c r="AJ23" s="39">
        <f t="shared" si="14"/>
        <v>144</v>
      </c>
      <c r="AK23" s="39">
        <f t="shared" si="8"/>
        <v>1520</v>
      </c>
      <c r="AL23" s="125">
        <f t="shared" si="15"/>
        <v>42432</v>
      </c>
      <c r="AM23" s="462">
        <f t="shared" si="33"/>
        <v>636.48</v>
      </c>
      <c r="AN23" s="125">
        <f t="shared" si="34"/>
        <v>43068.480000000003</v>
      </c>
      <c r="AO23" s="125">
        <f t="shared" si="3"/>
        <v>31824</v>
      </c>
      <c r="AP23" s="125">
        <f t="shared" si="4"/>
        <v>7572.4800000000032</v>
      </c>
      <c r="AQ23" s="125">
        <f t="shared" si="5"/>
        <v>3672</v>
      </c>
      <c r="AR23" s="125">
        <f t="shared" si="16"/>
        <v>0</v>
      </c>
      <c r="AS23" s="125">
        <f t="shared" si="17"/>
        <v>0</v>
      </c>
      <c r="AT23" s="125">
        <f t="shared" si="35"/>
        <v>0</v>
      </c>
      <c r="AU23" s="125">
        <f t="shared" si="18"/>
        <v>1632</v>
      </c>
      <c r="AV23" s="125">
        <f t="shared" si="19"/>
        <v>2040</v>
      </c>
      <c r="AW23" s="125">
        <f t="shared" si="20"/>
        <v>0</v>
      </c>
      <c r="AX23" s="125">
        <f t="shared" si="36"/>
        <v>43068.480000000003</v>
      </c>
      <c r="AY23" s="125">
        <f t="shared" si="37"/>
        <v>3672</v>
      </c>
      <c r="AZ23" s="125">
        <f t="shared" si="21"/>
        <v>39396.480000000003</v>
      </c>
      <c r="BA23" s="39">
        <f>IF(AN23:AN40&lt;Fica_wages,AN23:AN40*Fica_rate,Fica_wages*Fica_rate)</f>
        <v>2670.2457600000002</v>
      </c>
      <c r="BB23" s="39">
        <f>IF(AN23:AN40&lt;Medicare_wages,AN23:AN40*Medicare_rate,Medicare_rate*Medicare_wages)</f>
        <v>624.49296000000004</v>
      </c>
      <c r="BC23" s="39">
        <f t="shared" si="38"/>
        <v>98.842161599999997</v>
      </c>
      <c r="BD23" s="39">
        <f t="shared" si="23"/>
        <v>56</v>
      </c>
      <c r="BE23" s="39">
        <f t="shared" si="39"/>
        <v>164.01</v>
      </c>
      <c r="BF23" s="39">
        <f>V23:V40*AN23:AN40</f>
        <v>215.34240000000003</v>
      </c>
      <c r="BG23" s="39">
        <f t="shared" si="24"/>
        <v>0</v>
      </c>
      <c r="BH23" s="39">
        <f t="shared" si="25"/>
        <v>0</v>
      </c>
      <c r="BI23" s="39">
        <f t="shared" si="26"/>
        <v>373.44</v>
      </c>
      <c r="BJ23" s="39">
        <f>(BK20:BK40+AN20:AN40)*Retirement_plan_contribution_percent_of_base_pay</f>
        <v>1330.8160320000002</v>
      </c>
      <c r="BK23" s="39">
        <f t="shared" si="27"/>
        <v>1292.0544</v>
      </c>
    </row>
    <row r="24" spans="1:63" s="14" customFormat="1" x14ac:dyDescent="0.2">
      <c r="A24" s="825" t="s">
        <v>1005</v>
      </c>
      <c r="B24" s="826"/>
      <c r="C24" s="826">
        <v>10</v>
      </c>
      <c r="D24" s="826" t="s">
        <v>630</v>
      </c>
      <c r="E24" s="76">
        <f t="shared" si="0"/>
        <v>93025.920000000013</v>
      </c>
      <c r="F24" s="822">
        <v>74.540000000000006</v>
      </c>
      <c r="G24" s="796">
        <v>0.75</v>
      </c>
      <c r="H24" s="796">
        <v>0.41</v>
      </c>
      <c r="I24" s="796">
        <v>0.91</v>
      </c>
      <c r="J24" s="796">
        <v>0.8</v>
      </c>
      <c r="K24" s="49">
        <f t="shared" si="9"/>
        <v>84.349235795220523</v>
      </c>
      <c r="L24" s="36">
        <f t="shared" si="10"/>
        <v>22.115336538461538</v>
      </c>
      <c r="M24" s="39">
        <f t="shared" si="28"/>
        <v>36799.919999999998</v>
      </c>
      <c r="N24" s="828">
        <v>1533.33</v>
      </c>
      <c r="O24" s="829">
        <v>6.4</v>
      </c>
      <c r="P24" s="36">
        <f t="shared" si="29"/>
        <v>32</v>
      </c>
      <c r="Q24" s="830">
        <v>1</v>
      </c>
      <c r="R24" s="39">
        <f t="shared" si="11"/>
        <v>1664</v>
      </c>
      <c r="S24" s="814">
        <v>64</v>
      </c>
      <c r="T24" s="814">
        <v>80</v>
      </c>
      <c r="U24" s="814">
        <v>0</v>
      </c>
      <c r="V24" s="796">
        <v>5.0000000000000001E-3</v>
      </c>
      <c r="W24" s="814">
        <v>387.05</v>
      </c>
      <c r="X24" s="831">
        <v>0</v>
      </c>
      <c r="Y24" s="831">
        <v>26.99</v>
      </c>
      <c r="Z24" s="832">
        <v>0</v>
      </c>
      <c r="AA24" s="832">
        <v>0</v>
      </c>
      <c r="AB24" s="39">
        <f t="shared" si="6"/>
        <v>1248</v>
      </c>
      <c r="AC24" s="39">
        <f t="shared" si="30"/>
        <v>272</v>
      </c>
      <c r="AD24" s="39">
        <f t="shared" si="12"/>
        <v>144</v>
      </c>
      <c r="AE24" s="39">
        <f t="shared" si="7"/>
        <v>1664</v>
      </c>
      <c r="AF24" s="39">
        <f t="shared" si="2"/>
        <v>0</v>
      </c>
      <c r="AG24" s="39">
        <f t="shared" si="13"/>
        <v>0</v>
      </c>
      <c r="AH24" s="39">
        <f t="shared" si="31"/>
        <v>0</v>
      </c>
      <c r="AI24" s="39">
        <f t="shared" si="32"/>
        <v>1664</v>
      </c>
      <c r="AJ24" s="39">
        <f t="shared" si="14"/>
        <v>144</v>
      </c>
      <c r="AK24" s="39">
        <f t="shared" si="8"/>
        <v>1520</v>
      </c>
      <c r="AL24" s="125">
        <f t="shared" si="15"/>
        <v>36799.919999999998</v>
      </c>
      <c r="AM24" s="462">
        <f t="shared" si="33"/>
        <v>551.99879999999996</v>
      </c>
      <c r="AN24" s="125">
        <f t="shared" si="34"/>
        <v>37351.918799999999</v>
      </c>
      <c r="AO24" s="125">
        <f t="shared" si="3"/>
        <v>27599.94</v>
      </c>
      <c r="AP24" s="125">
        <f t="shared" si="4"/>
        <v>6567.3703384615392</v>
      </c>
      <c r="AQ24" s="125">
        <f t="shared" si="5"/>
        <v>3184.6084615384616</v>
      </c>
      <c r="AR24" s="125">
        <f t="shared" si="16"/>
        <v>0</v>
      </c>
      <c r="AS24" s="125">
        <f t="shared" si="17"/>
        <v>0</v>
      </c>
      <c r="AT24" s="125">
        <f t="shared" si="35"/>
        <v>0</v>
      </c>
      <c r="AU24" s="125">
        <f t="shared" si="18"/>
        <v>1415.3815384615384</v>
      </c>
      <c r="AV24" s="125">
        <f t="shared" si="19"/>
        <v>1769.226923076923</v>
      </c>
      <c r="AW24" s="125">
        <f t="shared" si="20"/>
        <v>0</v>
      </c>
      <c r="AX24" s="125">
        <f t="shared" si="36"/>
        <v>37351.918799999999</v>
      </c>
      <c r="AY24" s="125">
        <f t="shared" si="37"/>
        <v>3184.6084615384616</v>
      </c>
      <c r="AZ24" s="125">
        <f t="shared" si="21"/>
        <v>34167.310338461539</v>
      </c>
      <c r="BA24" s="39">
        <f>IF(AN24:AN40&lt;Fica_wages,AN24:AN40*Fica_rate,Fica_wages*Fica_rate)</f>
        <v>2315.8189656</v>
      </c>
      <c r="BB24" s="39">
        <f>IF(AN24:AN40&lt;Medicare_wages,AN24:AN40*Medicare_rate,Medicare_rate*Medicare_wages)</f>
        <v>541.60282259999997</v>
      </c>
      <c r="BC24" s="39">
        <f t="shared" si="38"/>
        <v>85.722653645999998</v>
      </c>
      <c r="BD24" s="39">
        <f t="shared" si="23"/>
        <v>56</v>
      </c>
      <c r="BE24" s="39">
        <f t="shared" si="39"/>
        <v>164.01</v>
      </c>
      <c r="BF24" s="39">
        <f>V24:V40*AN24:AN40</f>
        <v>186.75959399999999</v>
      </c>
      <c r="BG24" s="39">
        <f t="shared" si="24"/>
        <v>4644.6000000000004</v>
      </c>
      <c r="BH24" s="39">
        <f t="shared" si="25"/>
        <v>0</v>
      </c>
      <c r="BI24" s="39">
        <f t="shared" si="26"/>
        <v>323.88</v>
      </c>
      <c r="BJ24" s="39">
        <f>(BK24:BK40+AN24:AN40)*Retirement_plan_contribution_percent_of_base_pay</f>
        <v>1154.17429092</v>
      </c>
      <c r="BK24" s="39">
        <f t="shared" si="27"/>
        <v>1120.557564</v>
      </c>
    </row>
    <row r="25" spans="1:63" s="14" customFormat="1" x14ac:dyDescent="0.2">
      <c r="A25" s="825" t="s">
        <v>1006</v>
      </c>
      <c r="B25" s="826"/>
      <c r="C25" s="826">
        <v>11</v>
      </c>
      <c r="D25" s="826" t="s">
        <v>625</v>
      </c>
      <c r="E25" s="76">
        <f t="shared" si="0"/>
        <v>92526.720000000001</v>
      </c>
      <c r="F25" s="822">
        <v>74.14</v>
      </c>
      <c r="G25" s="796">
        <v>0.75</v>
      </c>
      <c r="H25" s="796">
        <v>0.75</v>
      </c>
      <c r="I25" s="796">
        <v>0</v>
      </c>
      <c r="J25" s="796">
        <v>0</v>
      </c>
      <c r="K25" s="49">
        <f t="shared" si="9"/>
        <v>83.909151869149966</v>
      </c>
      <c r="L25" s="36">
        <f t="shared" si="10"/>
        <v>21.999951923076921</v>
      </c>
      <c r="M25" s="39">
        <f>+N25*24</f>
        <v>36607.919999999998</v>
      </c>
      <c r="N25" s="828">
        <v>1525.33</v>
      </c>
      <c r="O25" s="829">
        <v>6.4</v>
      </c>
      <c r="P25" s="36">
        <f>+O25*5</f>
        <v>32</v>
      </c>
      <c r="Q25" s="830">
        <v>1</v>
      </c>
      <c r="R25" s="39">
        <f t="shared" si="11"/>
        <v>1664</v>
      </c>
      <c r="S25" s="814">
        <v>64</v>
      </c>
      <c r="T25" s="814">
        <v>80</v>
      </c>
      <c r="U25" s="814"/>
      <c r="V25" s="796">
        <v>5.0000000000000001E-3</v>
      </c>
      <c r="W25" s="814">
        <v>375.65</v>
      </c>
      <c r="X25" s="831">
        <v>0</v>
      </c>
      <c r="Y25" s="831">
        <v>26.84</v>
      </c>
      <c r="Z25" s="832">
        <v>0</v>
      </c>
      <c r="AA25" s="832">
        <v>0</v>
      </c>
      <c r="AB25" s="39">
        <f t="shared" si="6"/>
        <v>1248</v>
      </c>
      <c r="AC25" s="39">
        <f t="shared" si="30"/>
        <v>272</v>
      </c>
      <c r="AD25" s="39">
        <f t="shared" si="12"/>
        <v>144</v>
      </c>
      <c r="AE25" s="39">
        <f t="shared" si="7"/>
        <v>1664</v>
      </c>
      <c r="AF25" s="39">
        <f t="shared" si="2"/>
        <v>0</v>
      </c>
      <c r="AG25" s="39">
        <f t="shared" si="13"/>
        <v>0</v>
      </c>
      <c r="AH25" s="39">
        <f>AF25+AG25</f>
        <v>0</v>
      </c>
      <c r="AI25" s="39">
        <f>AE25+AH25</f>
        <v>1664</v>
      </c>
      <c r="AJ25" s="39">
        <f t="shared" si="14"/>
        <v>144</v>
      </c>
      <c r="AK25" s="39">
        <f t="shared" si="8"/>
        <v>1520</v>
      </c>
      <c r="AL25" s="125">
        <f t="shared" si="15"/>
        <v>36607.919999999998</v>
      </c>
      <c r="AM25" s="462">
        <f>Annual_raise_percentage*No._months_raise_effective*AL25</f>
        <v>549.11879999999996</v>
      </c>
      <c r="AN25" s="125">
        <f>+AL25+AM25</f>
        <v>37157.038799999995</v>
      </c>
      <c r="AO25" s="125">
        <f t="shared" si="3"/>
        <v>27455.94</v>
      </c>
      <c r="AP25" s="125">
        <f t="shared" si="4"/>
        <v>6533.1057230769193</v>
      </c>
      <c r="AQ25" s="125">
        <f>+AY25</f>
        <v>3167.9930769230768</v>
      </c>
      <c r="AR25" s="125">
        <f t="shared" si="16"/>
        <v>0</v>
      </c>
      <c r="AS25" s="125">
        <f t="shared" si="17"/>
        <v>0</v>
      </c>
      <c r="AT25" s="125">
        <f>AR25+AS25</f>
        <v>0</v>
      </c>
      <c r="AU25" s="125">
        <f t="shared" si="18"/>
        <v>1407.9969230769229</v>
      </c>
      <c r="AV25" s="125">
        <f t="shared" si="19"/>
        <v>1759.9961538461537</v>
      </c>
      <c r="AW25" s="125">
        <f t="shared" si="20"/>
        <v>0</v>
      </c>
      <c r="AX25" s="125">
        <f>+AO25+AP25+AQ25</f>
        <v>37157.038799999995</v>
      </c>
      <c r="AY25" s="125">
        <f>AU25+AV25+AW25</f>
        <v>3167.9930769230768</v>
      </c>
      <c r="AZ25" s="125">
        <f t="shared" si="21"/>
        <v>33989.045723076917</v>
      </c>
      <c r="BA25" s="39">
        <f>IF(AN25:AN41&lt;Fica_wages,AN25:AN41*Fica_rate,Fica_wages*Fica_rate)</f>
        <v>2303.7364055999997</v>
      </c>
      <c r="BB25" s="39">
        <f>IF(AN25:AN41&lt;Medicare_wages,AN25:AN41*Medicare_rate,Medicare_rate*Medicare_wages)</f>
        <v>538.77706259999991</v>
      </c>
      <c r="BC25" s="39">
        <f t="shared" ref="BC25:BC26" si="40">IF(BA25+(BK25*Fica_rate)&lt;Fica_rate*Fica_wages,BK25*Fica_rate,(Fica_rate*Fica_wages)-BA25)+IF(BB25+(BK25*Medicare_rate)&lt;Medicare_rate*Medicare_wages,BK25*Medicare_rate,(Medicare_rate*Medicare_wages)-BB25)</f>
        <v>85.275404045999991</v>
      </c>
      <c r="BD25" s="39">
        <f t="shared" si="23"/>
        <v>56</v>
      </c>
      <c r="BE25" s="39">
        <f t="shared" si="39"/>
        <v>164.01</v>
      </c>
      <c r="BF25" s="39">
        <f>V25:V41*AN25:AN41</f>
        <v>185.78519399999999</v>
      </c>
      <c r="BG25" s="39">
        <f t="shared" si="24"/>
        <v>4507.7999999999993</v>
      </c>
      <c r="BH25" s="39">
        <f t="shared" si="25"/>
        <v>0</v>
      </c>
      <c r="BI25" s="39">
        <f t="shared" ref="BI25:BI26" si="41">+Y25*12</f>
        <v>322.08</v>
      </c>
      <c r="BJ25" s="39">
        <f>(BK25:BK41+AN25:AN41)*Retirement_plan_contribution_percent_of_base_pay</f>
        <v>1148.1524989199997</v>
      </c>
      <c r="BK25" s="39">
        <f t="shared" si="27"/>
        <v>1114.7111639999998</v>
      </c>
    </row>
    <row r="26" spans="1:63" s="14" customFormat="1" x14ac:dyDescent="0.2">
      <c r="A26" s="825" t="s">
        <v>1007</v>
      </c>
      <c r="B26" s="826"/>
      <c r="C26" s="826">
        <v>12</v>
      </c>
      <c r="D26" s="826" t="s">
        <v>625</v>
      </c>
      <c r="E26" s="76">
        <f t="shared" si="0"/>
        <v>79909.440000000002</v>
      </c>
      <c r="F26" s="822">
        <v>64.03</v>
      </c>
      <c r="G26" s="796">
        <v>0.75</v>
      </c>
      <c r="H26" s="796">
        <v>0.49</v>
      </c>
      <c r="I26" s="796">
        <v>0.83</v>
      </c>
      <c r="J26" s="796">
        <v>0</v>
      </c>
      <c r="K26" s="49">
        <f t="shared" si="9"/>
        <v>72.466969791315535</v>
      </c>
      <c r="L26" s="36">
        <f t="shared" si="10"/>
        <v>18.999951923076921</v>
      </c>
      <c r="M26" s="39">
        <f>+N26*24</f>
        <v>31615.919999999998</v>
      </c>
      <c r="N26" s="828">
        <v>1317.33</v>
      </c>
      <c r="O26" s="829">
        <v>6.4</v>
      </c>
      <c r="P26" s="36">
        <f>+O26*5</f>
        <v>32</v>
      </c>
      <c r="Q26" s="830">
        <v>1</v>
      </c>
      <c r="R26" s="39">
        <f t="shared" si="11"/>
        <v>1664</v>
      </c>
      <c r="S26" s="814">
        <v>64</v>
      </c>
      <c r="T26" s="814">
        <v>80</v>
      </c>
      <c r="U26" s="814">
        <v>0</v>
      </c>
      <c r="V26" s="796">
        <v>5.0000000000000001E-3</v>
      </c>
      <c r="W26" s="814">
        <v>536.42999999999995</v>
      </c>
      <c r="X26" s="831">
        <v>149.38</v>
      </c>
      <c r="Y26" s="831">
        <v>23.19</v>
      </c>
      <c r="Z26" s="832">
        <v>0</v>
      </c>
      <c r="AA26" s="832">
        <v>0</v>
      </c>
      <c r="AB26" s="39">
        <f t="shared" si="6"/>
        <v>1248</v>
      </c>
      <c r="AC26" s="39">
        <f t="shared" si="30"/>
        <v>272</v>
      </c>
      <c r="AD26" s="39">
        <f t="shared" si="12"/>
        <v>144</v>
      </c>
      <c r="AE26" s="39">
        <f t="shared" si="7"/>
        <v>1664</v>
      </c>
      <c r="AF26" s="39">
        <f t="shared" si="2"/>
        <v>0</v>
      </c>
      <c r="AG26" s="39">
        <f t="shared" si="13"/>
        <v>0</v>
      </c>
      <c r="AH26" s="39">
        <f>AF26+AG26</f>
        <v>0</v>
      </c>
      <c r="AI26" s="39">
        <f>AE26+AH26</f>
        <v>1664</v>
      </c>
      <c r="AJ26" s="39">
        <f t="shared" si="14"/>
        <v>144</v>
      </c>
      <c r="AK26" s="39">
        <f t="shared" si="8"/>
        <v>1520</v>
      </c>
      <c r="AL26" s="125">
        <f t="shared" si="15"/>
        <v>31615.919999999998</v>
      </c>
      <c r="AM26" s="462">
        <f>Annual_raise_percentage*No._months_raise_effective*AL26</f>
        <v>474.23879999999997</v>
      </c>
      <c r="AN26" s="125">
        <f>+AL26+AM26</f>
        <v>32090.158799999997</v>
      </c>
      <c r="AO26" s="125">
        <f t="shared" si="3"/>
        <v>23711.94</v>
      </c>
      <c r="AP26" s="125">
        <f t="shared" si="4"/>
        <v>5642.2257230769219</v>
      </c>
      <c r="AQ26" s="125">
        <f>+AY26</f>
        <v>2735.9930769230768</v>
      </c>
      <c r="AR26" s="125">
        <f t="shared" si="16"/>
        <v>0</v>
      </c>
      <c r="AS26" s="125">
        <f t="shared" si="17"/>
        <v>0</v>
      </c>
      <c r="AT26" s="125">
        <f>AR26+AS26</f>
        <v>0</v>
      </c>
      <c r="AU26" s="125">
        <f t="shared" si="18"/>
        <v>1215.9969230769229</v>
      </c>
      <c r="AV26" s="125">
        <f t="shared" si="19"/>
        <v>1519.9961538461537</v>
      </c>
      <c r="AW26" s="125">
        <f t="shared" si="20"/>
        <v>0</v>
      </c>
      <c r="AX26" s="125">
        <f>+AO26+AP26+AQ26</f>
        <v>32090.158799999997</v>
      </c>
      <c r="AY26" s="125">
        <f>AU26+AV26+AW26</f>
        <v>2735.9930769230768</v>
      </c>
      <c r="AZ26" s="125">
        <f t="shared" si="21"/>
        <v>29354.16572307692</v>
      </c>
      <c r="BA26" s="39">
        <f>IF(AN26:AN42&lt;Fica_wages,AN26:AN42*Fica_rate,Fica_wages*Fica_rate)</f>
        <v>1989.5898455999998</v>
      </c>
      <c r="BB26" s="39">
        <f>IF(AN26:AN42&lt;Medicare_wages,AN26:AN42*Medicare_rate,Medicare_rate*Medicare_wages)</f>
        <v>465.30730260000001</v>
      </c>
      <c r="BC26" s="39">
        <f t="shared" si="40"/>
        <v>73.646914445999997</v>
      </c>
      <c r="BD26" s="39">
        <f t="shared" si="23"/>
        <v>56</v>
      </c>
      <c r="BE26" s="39">
        <f t="shared" si="39"/>
        <v>164.01</v>
      </c>
      <c r="BF26" s="39">
        <f>V26:V42*AN26:AN42</f>
        <v>160.450794</v>
      </c>
      <c r="BG26" s="39">
        <f t="shared" si="24"/>
        <v>6437.16</v>
      </c>
      <c r="BH26" s="39">
        <f t="shared" si="25"/>
        <v>-1792.56</v>
      </c>
      <c r="BI26" s="39">
        <f t="shared" si="41"/>
        <v>278.28000000000003</v>
      </c>
      <c r="BJ26" s="39">
        <f>(BK26:BK42+AN26:AN42)*Retirement_plan_contribution_percent_of_base_pay</f>
        <v>991.58590691999996</v>
      </c>
      <c r="BK26" s="39">
        <f t="shared" si="27"/>
        <v>962.70476399999984</v>
      </c>
    </row>
    <row r="27" spans="1:63" s="14" customFormat="1" x14ac:dyDescent="0.2">
      <c r="A27" s="825" t="s">
        <v>1008</v>
      </c>
      <c r="B27" s="826"/>
      <c r="C27" s="826">
        <v>11</v>
      </c>
      <c r="D27" s="826" t="s">
        <v>625</v>
      </c>
      <c r="E27" s="76">
        <f t="shared" si="0"/>
        <v>79909.440000000002</v>
      </c>
      <c r="F27" s="822">
        <v>64.03</v>
      </c>
      <c r="G27" s="796">
        <v>0.75</v>
      </c>
      <c r="H27" s="796">
        <v>0.74</v>
      </c>
      <c r="I27" s="796">
        <v>0.83</v>
      </c>
      <c r="J27" s="796">
        <v>0</v>
      </c>
      <c r="K27" s="49">
        <f t="shared" si="9"/>
        <v>72.466969791315535</v>
      </c>
      <c r="L27" s="36">
        <f t="shared" si="10"/>
        <v>18.999951923076921</v>
      </c>
      <c r="M27" s="39">
        <f>+N27*24</f>
        <v>31615.919999999998</v>
      </c>
      <c r="N27" s="828">
        <v>1317.33</v>
      </c>
      <c r="O27" s="829">
        <v>6.4</v>
      </c>
      <c r="P27" s="36">
        <f>+O27*5</f>
        <v>32</v>
      </c>
      <c r="Q27" s="830">
        <v>1</v>
      </c>
      <c r="R27" s="39">
        <f t="shared" si="11"/>
        <v>1664</v>
      </c>
      <c r="S27" s="814">
        <v>64</v>
      </c>
      <c r="T27" s="814">
        <v>80</v>
      </c>
      <c r="U27" s="814">
        <v>0</v>
      </c>
      <c r="V27" s="796">
        <v>5.0000000000000001E-3</v>
      </c>
      <c r="W27" s="814">
        <v>387.05</v>
      </c>
      <c r="X27" s="831">
        <v>0</v>
      </c>
      <c r="Y27" s="831">
        <v>23.26</v>
      </c>
      <c r="Z27" s="832">
        <v>0</v>
      </c>
      <c r="AA27" s="832">
        <v>0</v>
      </c>
      <c r="AB27" s="39">
        <f t="shared" si="6"/>
        <v>1248</v>
      </c>
      <c r="AC27" s="39">
        <f t="shared" si="30"/>
        <v>272</v>
      </c>
      <c r="AD27" s="39">
        <f t="shared" si="12"/>
        <v>144</v>
      </c>
      <c r="AE27" s="39">
        <f t="shared" si="7"/>
        <v>1664</v>
      </c>
      <c r="AF27" s="39">
        <f t="shared" si="2"/>
        <v>0</v>
      </c>
      <c r="AG27" s="39">
        <f t="shared" si="13"/>
        <v>0</v>
      </c>
      <c r="AH27" s="39">
        <f>AF27+AG27</f>
        <v>0</v>
      </c>
      <c r="AI27" s="39">
        <f>AE27+AH27</f>
        <v>1664</v>
      </c>
      <c r="AJ27" s="39">
        <f t="shared" si="14"/>
        <v>144</v>
      </c>
      <c r="AK27" s="39">
        <f t="shared" si="8"/>
        <v>1520</v>
      </c>
      <c r="AL27" s="125">
        <f t="shared" si="15"/>
        <v>31615.919999999998</v>
      </c>
      <c r="AM27" s="462">
        <f>Annual_raise_percentage*No._months_raise_effective*AL27</f>
        <v>474.23879999999997</v>
      </c>
      <c r="AN27" s="125">
        <f>+AL27+AM27</f>
        <v>32090.158799999997</v>
      </c>
      <c r="AO27" s="125">
        <f t="shared" si="3"/>
        <v>23711.94</v>
      </c>
      <c r="AP27" s="125">
        <f t="shared" si="4"/>
        <v>5642.2257230769219</v>
      </c>
      <c r="AQ27" s="125">
        <f>+AY27</f>
        <v>2735.9930769230768</v>
      </c>
      <c r="AR27" s="125">
        <f t="shared" si="16"/>
        <v>0</v>
      </c>
      <c r="AS27" s="125">
        <f t="shared" si="17"/>
        <v>0</v>
      </c>
      <c r="AT27" s="125">
        <f>AR27+AS27</f>
        <v>0</v>
      </c>
      <c r="AU27" s="125">
        <f t="shared" si="18"/>
        <v>1215.9969230769229</v>
      </c>
      <c r="AV27" s="125">
        <f t="shared" si="19"/>
        <v>1519.9961538461537</v>
      </c>
      <c r="AW27" s="125">
        <f t="shared" si="20"/>
        <v>0</v>
      </c>
      <c r="AX27" s="125">
        <f>+AO27+AP27+AQ27</f>
        <v>32090.158799999997</v>
      </c>
      <c r="AY27" s="125">
        <f>AU27+AV27+AW27</f>
        <v>2735.9930769230768</v>
      </c>
      <c r="AZ27" s="125">
        <f t="shared" si="21"/>
        <v>29354.16572307692</v>
      </c>
      <c r="BA27" s="39">
        <f>IF(AN27:AN40&lt;Fica_wages,AN27:AN40*Fica_rate,Fica_wages*Fica_rate)</f>
        <v>1989.5898455999998</v>
      </c>
      <c r="BB27" s="39">
        <f>IF(AN27:AN40&lt;Medicare_wages,AN27:AN40*Medicare_rate,Medicare_rate*Medicare_wages)</f>
        <v>465.30730260000001</v>
      </c>
      <c r="BC27" s="39">
        <f>IF(BA27+(BK27*Fica_rate)&lt;Fica_rate*Fica_wages,BK27*Fica_rate,(Fica_rate*Fica_wages)-BA27)+IF(BB27+(BK27*Medicare_rate)&lt;Medicare_rate*Medicare_wages,BK27*Medicare_rate,(Medicare_rate*Medicare_wages)-BB27)</f>
        <v>73.646914445999997</v>
      </c>
      <c r="BD27" s="39">
        <f t="shared" si="23"/>
        <v>56</v>
      </c>
      <c r="BE27" s="39">
        <f t="shared" si="39"/>
        <v>164.01</v>
      </c>
      <c r="BF27" s="39">
        <f>V27:V40*AN27:AN40</f>
        <v>160.450794</v>
      </c>
      <c r="BG27" s="39">
        <f t="shared" si="24"/>
        <v>4644.6000000000004</v>
      </c>
      <c r="BH27" s="39">
        <f t="shared" si="25"/>
        <v>0</v>
      </c>
      <c r="BI27" s="39">
        <f t="shared" ref="BI27:BI33" si="42">+Y27*12</f>
        <v>279.12</v>
      </c>
      <c r="BJ27" s="39">
        <f>(BK24:BK40+AN24:AN40)*Retirement_plan_contribution_percent_of_base_pay</f>
        <v>991.58590691999996</v>
      </c>
      <c r="BK27" s="39">
        <f t="shared" si="27"/>
        <v>962.70476399999984</v>
      </c>
    </row>
    <row r="28" spans="1:63" s="14" customFormat="1" x14ac:dyDescent="0.2">
      <c r="A28" s="825" t="s">
        <v>1009</v>
      </c>
      <c r="B28" s="826"/>
      <c r="C28" s="826">
        <v>11</v>
      </c>
      <c r="D28" s="826" t="s">
        <v>625</v>
      </c>
      <c r="E28" s="76">
        <f t="shared" si="0"/>
        <v>71497.919999999998</v>
      </c>
      <c r="F28" s="822">
        <v>57.29</v>
      </c>
      <c r="G28" s="796">
        <v>0.75</v>
      </c>
      <c r="H28" s="796">
        <v>0.87</v>
      </c>
      <c r="I28" s="796">
        <v>0.68</v>
      </c>
      <c r="J28" s="796">
        <v>0.77</v>
      </c>
      <c r="K28" s="49">
        <f t="shared" si="9"/>
        <v>64.839215142697654</v>
      </c>
      <c r="L28" s="36">
        <f t="shared" si="10"/>
        <v>17.000048076923079</v>
      </c>
      <c r="M28" s="39">
        <f t="shared" si="28"/>
        <v>28288.080000000002</v>
      </c>
      <c r="N28" s="828">
        <v>1178.67</v>
      </c>
      <c r="O28" s="829">
        <v>6.4</v>
      </c>
      <c r="P28" s="36">
        <f t="shared" si="29"/>
        <v>32</v>
      </c>
      <c r="Q28" s="830">
        <v>1</v>
      </c>
      <c r="R28" s="39">
        <f t="shared" si="11"/>
        <v>1664</v>
      </c>
      <c r="S28" s="814">
        <v>64</v>
      </c>
      <c r="T28" s="814">
        <v>80</v>
      </c>
      <c r="U28" s="814">
        <v>0</v>
      </c>
      <c r="V28" s="796">
        <v>5.0000000000000001E-3</v>
      </c>
      <c r="W28" s="814">
        <v>387.05</v>
      </c>
      <c r="X28" s="831">
        <v>0</v>
      </c>
      <c r="Y28" s="831">
        <v>20.74</v>
      </c>
      <c r="Z28" s="832">
        <v>0</v>
      </c>
      <c r="AA28" s="832">
        <v>0</v>
      </c>
      <c r="AB28" s="39">
        <f t="shared" si="6"/>
        <v>1248</v>
      </c>
      <c r="AC28" s="39">
        <f t="shared" si="30"/>
        <v>272</v>
      </c>
      <c r="AD28" s="39">
        <f t="shared" si="12"/>
        <v>144</v>
      </c>
      <c r="AE28" s="39">
        <f t="shared" si="7"/>
        <v>1664</v>
      </c>
      <c r="AF28" s="39">
        <f t="shared" si="2"/>
        <v>0</v>
      </c>
      <c r="AG28" s="39">
        <f t="shared" si="13"/>
        <v>0</v>
      </c>
      <c r="AH28" s="39">
        <f t="shared" si="31"/>
        <v>0</v>
      </c>
      <c r="AI28" s="39">
        <f t="shared" si="32"/>
        <v>1664</v>
      </c>
      <c r="AJ28" s="39">
        <f t="shared" si="14"/>
        <v>144</v>
      </c>
      <c r="AK28" s="39">
        <f t="shared" si="8"/>
        <v>1520</v>
      </c>
      <c r="AL28" s="125">
        <f t="shared" si="15"/>
        <v>28288.080000000002</v>
      </c>
      <c r="AM28" s="462">
        <f t="shared" si="33"/>
        <v>424.32120000000003</v>
      </c>
      <c r="AN28" s="125">
        <f t="shared" si="34"/>
        <v>28712.4012</v>
      </c>
      <c r="AO28" s="125">
        <f t="shared" si="3"/>
        <v>21216.06</v>
      </c>
      <c r="AP28" s="125">
        <f t="shared" si="4"/>
        <v>5048.3342769230758</v>
      </c>
      <c r="AQ28" s="125">
        <f t="shared" si="5"/>
        <v>2448.0069230769232</v>
      </c>
      <c r="AR28" s="125">
        <f t="shared" si="16"/>
        <v>0</v>
      </c>
      <c r="AS28" s="125">
        <f t="shared" si="17"/>
        <v>0</v>
      </c>
      <c r="AT28" s="125">
        <f t="shared" si="35"/>
        <v>0</v>
      </c>
      <c r="AU28" s="125">
        <f t="shared" si="18"/>
        <v>1088.0030769230771</v>
      </c>
      <c r="AV28" s="125">
        <f t="shared" si="19"/>
        <v>1360.0038461538463</v>
      </c>
      <c r="AW28" s="125">
        <f t="shared" si="20"/>
        <v>0</v>
      </c>
      <c r="AX28" s="125">
        <f t="shared" si="36"/>
        <v>28712.4012</v>
      </c>
      <c r="AY28" s="125">
        <f t="shared" si="37"/>
        <v>2448.0069230769232</v>
      </c>
      <c r="AZ28" s="125">
        <f t="shared" si="21"/>
        <v>26264.394276923078</v>
      </c>
      <c r="BA28" s="39">
        <f>IF(AN28:AN40&lt;Fica_wages,AN28:AN40*Fica_rate,Fica_wages*Fica_rate)</f>
        <v>1780.1688744</v>
      </c>
      <c r="BB28" s="39">
        <f>IF(AN28:AN40&lt;Medicare_wages,AN28:AN40*Medicare_rate,Medicare_rate*Medicare_wages)</f>
        <v>416.32981740000002</v>
      </c>
      <c r="BC28" s="39">
        <f t="shared" si="38"/>
        <v>65.894960753999996</v>
      </c>
      <c r="BD28" s="39">
        <f t="shared" si="23"/>
        <v>56</v>
      </c>
      <c r="BE28" s="39">
        <f t="shared" ref="BE28:BE33" si="43">IF(AN28&gt;State_unemployment_amount,State_unemployment_amount*State_unemployment_rate,AN28*State_unemployment_rate)</f>
        <v>164.01</v>
      </c>
      <c r="BF28" s="39">
        <f>V28:V40*AN28:AN40</f>
        <v>143.562006</v>
      </c>
      <c r="BG28" s="39">
        <f t="shared" si="24"/>
        <v>4644.6000000000004</v>
      </c>
      <c r="BH28" s="39">
        <f t="shared" si="25"/>
        <v>0</v>
      </c>
      <c r="BI28" s="39">
        <f t="shared" si="42"/>
        <v>248.88</v>
      </c>
      <c r="BJ28" s="39">
        <f>(BK22:BK39+AN22:AN39)*Retirement_plan_contribution_percent_of_base_pay</f>
        <v>887.21319707999999</v>
      </c>
      <c r="BK28" s="39">
        <f t="shared" si="27"/>
        <v>861.37203599999998</v>
      </c>
    </row>
    <row r="29" spans="1:63" s="14" customFormat="1" x14ac:dyDescent="0.2">
      <c r="A29" s="825" t="s">
        <v>1010</v>
      </c>
      <c r="B29" s="826"/>
      <c r="C29" s="826">
        <v>12</v>
      </c>
      <c r="D29" s="826" t="s">
        <v>626</v>
      </c>
      <c r="E29" s="76">
        <f t="shared" si="0"/>
        <v>0</v>
      </c>
      <c r="F29" s="822"/>
      <c r="G29" s="796">
        <v>0</v>
      </c>
      <c r="H29" s="796">
        <v>0</v>
      </c>
      <c r="I29" s="796"/>
      <c r="J29" s="796"/>
      <c r="K29" s="49">
        <f>+$K$6*L29</f>
        <v>125.44757344113448</v>
      </c>
      <c r="L29" s="36">
        <f t="shared" si="10"/>
        <v>32.890817307692302</v>
      </c>
      <c r="M29" s="39">
        <f t="shared" si="28"/>
        <v>54730.319999999992</v>
      </c>
      <c r="N29" s="828">
        <v>2280.4299999999998</v>
      </c>
      <c r="O29" s="829">
        <v>6.4</v>
      </c>
      <c r="P29" s="36">
        <f t="shared" si="29"/>
        <v>32</v>
      </c>
      <c r="Q29" s="830">
        <v>0</v>
      </c>
      <c r="R29" s="39">
        <f t="shared" si="11"/>
        <v>1664</v>
      </c>
      <c r="S29" s="814">
        <v>64</v>
      </c>
      <c r="T29" s="814">
        <v>80</v>
      </c>
      <c r="U29" s="814">
        <v>0</v>
      </c>
      <c r="V29" s="796">
        <v>5.0000000000000001E-3</v>
      </c>
      <c r="W29" s="814">
        <v>0</v>
      </c>
      <c r="X29" s="831">
        <v>0</v>
      </c>
      <c r="Y29" s="831">
        <v>40.14</v>
      </c>
      <c r="Z29" s="832">
        <v>0</v>
      </c>
      <c r="AA29" s="832">
        <v>0</v>
      </c>
      <c r="AB29" s="39">
        <f t="shared" si="6"/>
        <v>0</v>
      </c>
      <c r="AC29" s="39">
        <f>IF(Q29&gt;0,AK29-#REF!,0)</f>
        <v>0</v>
      </c>
      <c r="AD29" s="39">
        <f t="shared" si="12"/>
        <v>0</v>
      </c>
      <c r="AE29" s="39">
        <f t="shared" si="7"/>
        <v>1664</v>
      </c>
      <c r="AF29" s="39">
        <f>IF(Q29&gt;0,0,R29)</f>
        <v>1664</v>
      </c>
      <c r="AG29" s="39">
        <f t="shared" si="13"/>
        <v>144</v>
      </c>
      <c r="AH29" s="39">
        <f t="shared" ref="AH29:AH33" si="44">AF29+AG29</f>
        <v>1808</v>
      </c>
      <c r="AI29" s="39">
        <f t="shared" ref="AI29:AI33" si="45">AE29+AH29</f>
        <v>3472</v>
      </c>
      <c r="AJ29" s="39">
        <f>S29+T29+U29</f>
        <v>144</v>
      </c>
      <c r="AK29" s="39">
        <f t="shared" si="8"/>
        <v>3328</v>
      </c>
      <c r="AL29" s="125">
        <f t="shared" si="15"/>
        <v>114196.91769230767</v>
      </c>
      <c r="AM29" s="462">
        <f t="shared" ref="AM29:AM33" si="46">Annual_raise_percentage*No._months_raise_effective*AL29</f>
        <v>1712.9537653846151</v>
      </c>
      <c r="AN29" s="125">
        <f t="shared" ref="AN29:AN33" si="47">+AL29+AM29</f>
        <v>115909.87145769229</v>
      </c>
      <c r="AO29" s="125">
        <f t="shared" si="3"/>
        <v>0</v>
      </c>
      <c r="AP29" s="125"/>
      <c r="AQ29" s="125"/>
      <c r="AR29" s="125">
        <f t="shared" si="16"/>
        <v>111173.5937653846</v>
      </c>
      <c r="AS29" s="125">
        <f t="shared" si="17"/>
        <v>4736.2776923076917</v>
      </c>
      <c r="AT29" s="125">
        <f t="shared" ref="AT29:AT33" si="48">AR29+AS29</f>
        <v>115909.87145769229</v>
      </c>
      <c r="AU29" s="125">
        <f t="shared" si="18"/>
        <v>2105.0123076923073</v>
      </c>
      <c r="AV29" s="125">
        <f t="shared" si="19"/>
        <v>2631.2653846153844</v>
      </c>
      <c r="AW29" s="125">
        <f t="shared" si="20"/>
        <v>0</v>
      </c>
      <c r="AX29" s="125">
        <f>+AR29+AS29</f>
        <v>115909.87145769229</v>
      </c>
      <c r="AY29" s="125">
        <f t="shared" ref="AY29:AY33" si="49">AU29+AV29+AW29</f>
        <v>4736.2776923076917</v>
      </c>
      <c r="AZ29" s="125">
        <f>AN29-AY29</f>
        <v>111173.5937653846</v>
      </c>
      <c r="BA29" s="39">
        <f>IF(AN27:AN39&lt;Fica_wages,AN27:AN39*Fica_rate,Fica_wages*Fica_rate)</f>
        <v>6857.2</v>
      </c>
      <c r="BB29" s="39">
        <f>IF(AN27:AN39&lt;Medicare_wages,AN27:AN39*Medicare_rate,Medicare_rate*Medicare_wages)</f>
        <v>1680.6931361365384</v>
      </c>
      <c r="BC29" s="39">
        <f t="shared" ref="BC29:BC33" si="50">IF(BA29+(BK29*Fica_rate)&lt;Fica_rate*Fica_wages,BK29*Fica_rate,(Fica_rate*Fica_wages)-BA29)+IF(BB29+(BK29*Medicare_rate)&lt;Medicare_rate*Medicare_wages,BK29*Medicare_rate,(Medicare_rate*Medicare_wages)-BB29)</f>
        <v>50.420794084096144</v>
      </c>
      <c r="BD29" s="39">
        <f>IF(AN29&gt;Federal_unemployment_amount,Federal_unemployment_amount*Federal_unemployment_rate,AN29*Federal_unemployment_rate)</f>
        <v>56</v>
      </c>
      <c r="BE29" s="39">
        <f t="shared" si="43"/>
        <v>164.01</v>
      </c>
      <c r="BF29" s="39">
        <f>V27:V39*AN27:AN39</f>
        <v>579.54935728846147</v>
      </c>
      <c r="BG29" s="39">
        <f t="shared" si="24"/>
        <v>0</v>
      </c>
      <c r="BH29" s="39">
        <f t="shared" si="25"/>
        <v>0</v>
      </c>
      <c r="BI29" s="39">
        <f t="shared" si="42"/>
        <v>481.68</v>
      </c>
      <c r="BJ29" s="39">
        <f>(BK27:BK39+AN27:AN39)*Retirement_plan_contribution_percent_of_base_pay</f>
        <v>3581.6150280426918</v>
      </c>
      <c r="BK29" s="39">
        <f>Bonus_percent_of_base_pay*AN29</f>
        <v>3477.2961437307686</v>
      </c>
    </row>
    <row r="30" spans="1:63" s="14" customFormat="1" x14ac:dyDescent="0.2">
      <c r="A30" s="825" t="s">
        <v>1011</v>
      </c>
      <c r="B30" s="826"/>
      <c r="C30" s="826">
        <v>12</v>
      </c>
      <c r="D30" s="826" t="s">
        <v>626</v>
      </c>
      <c r="E30" s="76">
        <f t="shared" si="0"/>
        <v>0</v>
      </c>
      <c r="F30" s="822"/>
      <c r="G30" s="796">
        <v>0</v>
      </c>
      <c r="H30" s="796">
        <v>0</v>
      </c>
      <c r="I30" s="796"/>
      <c r="J30" s="796"/>
      <c r="K30" s="49">
        <f>+$K$6*L30</f>
        <v>95.351333946984397</v>
      </c>
      <c r="L30" s="36">
        <f t="shared" si="10"/>
        <v>24.999951923076921</v>
      </c>
      <c r="M30" s="39">
        <f t="shared" si="28"/>
        <v>41599.919999999998</v>
      </c>
      <c r="N30" s="828">
        <v>1733.33</v>
      </c>
      <c r="O30" s="829">
        <v>6.4</v>
      </c>
      <c r="P30" s="36">
        <f t="shared" si="29"/>
        <v>32</v>
      </c>
      <c r="Q30" s="830">
        <v>0</v>
      </c>
      <c r="R30" s="39">
        <f t="shared" si="11"/>
        <v>1664</v>
      </c>
      <c r="S30" s="814">
        <v>64</v>
      </c>
      <c r="T30" s="814">
        <v>80</v>
      </c>
      <c r="U30" s="814">
        <v>0</v>
      </c>
      <c r="V30" s="796">
        <v>5.0000000000000001E-3</v>
      </c>
      <c r="W30" s="814">
        <v>387.05</v>
      </c>
      <c r="X30" s="831">
        <v>0</v>
      </c>
      <c r="Y30" s="831">
        <v>30.51</v>
      </c>
      <c r="Z30" s="832">
        <v>0</v>
      </c>
      <c r="AA30" s="832">
        <v>0</v>
      </c>
      <c r="AB30" s="39">
        <f t="shared" si="6"/>
        <v>0</v>
      </c>
      <c r="AC30" s="39">
        <f>IF(Q30&gt;0,AK30-#REF!,0)</f>
        <v>0</v>
      </c>
      <c r="AD30" s="39">
        <f t="shared" si="12"/>
        <v>0</v>
      </c>
      <c r="AE30" s="39">
        <f t="shared" si="7"/>
        <v>1664</v>
      </c>
      <c r="AF30" s="39">
        <f t="shared" ref="AF30:AF33" si="51">IF(Q30&gt;0,0,R30)</f>
        <v>1664</v>
      </c>
      <c r="AG30" s="39">
        <f t="shared" si="13"/>
        <v>144</v>
      </c>
      <c r="AH30" s="39">
        <f t="shared" si="44"/>
        <v>1808</v>
      </c>
      <c r="AI30" s="39">
        <f t="shared" si="45"/>
        <v>3472</v>
      </c>
      <c r="AJ30" s="39">
        <f>S30+T30+U30</f>
        <v>144</v>
      </c>
      <c r="AK30" s="39">
        <f t="shared" si="8"/>
        <v>3328</v>
      </c>
      <c r="AL30" s="125">
        <f t="shared" si="15"/>
        <v>86799.833076923067</v>
      </c>
      <c r="AM30" s="462">
        <f t="shared" si="46"/>
        <v>1301.997496153846</v>
      </c>
      <c r="AN30" s="125">
        <f t="shared" si="47"/>
        <v>88101.830573076906</v>
      </c>
      <c r="AO30" s="125">
        <f t="shared" si="3"/>
        <v>0</v>
      </c>
      <c r="AP30" s="125"/>
      <c r="AQ30" s="125"/>
      <c r="AR30" s="125">
        <f t="shared" si="16"/>
        <v>84501.837496153836</v>
      </c>
      <c r="AS30" s="125">
        <f t="shared" si="17"/>
        <v>3599.9930769230768</v>
      </c>
      <c r="AT30" s="125">
        <f t="shared" si="48"/>
        <v>88101.830573076906</v>
      </c>
      <c r="AU30" s="125">
        <f t="shared" si="18"/>
        <v>1599.9969230769229</v>
      </c>
      <c r="AV30" s="125">
        <f t="shared" si="19"/>
        <v>1999.9961538461537</v>
      </c>
      <c r="AW30" s="125">
        <f t="shared" si="20"/>
        <v>0</v>
      </c>
      <c r="AX30" s="125">
        <f t="shared" ref="AX30:AX33" si="52">+AR30+AS30</f>
        <v>88101.830573076906</v>
      </c>
      <c r="AY30" s="125">
        <f t="shared" si="49"/>
        <v>3599.9930769230768</v>
      </c>
      <c r="AZ30" s="125">
        <f>AN30-AY30</f>
        <v>84501.837496153836</v>
      </c>
      <c r="BA30" s="39">
        <f>IF(AN23:AN40&lt;Fica_wages,AN23:AN40*Fica_rate,Fica_wages*Fica_rate)</f>
        <v>5462.3134955307678</v>
      </c>
      <c r="BB30" s="39">
        <f>IF(AN23:AN40&lt;Medicare_wages,AN23:AN40*Medicare_rate,Medicare_rate*Medicare_wages)</f>
        <v>1277.4765433096152</v>
      </c>
      <c r="BC30" s="39">
        <f t="shared" si="50"/>
        <v>202.19370116521148</v>
      </c>
      <c r="BD30" s="39">
        <f>IF(AN30&gt;Federal_unemployment_amount,Federal_unemployment_amount*Federal_unemployment_rate,AN30*Federal_unemployment_rate)</f>
        <v>56</v>
      </c>
      <c r="BE30" s="39">
        <f t="shared" si="43"/>
        <v>164.01</v>
      </c>
      <c r="BF30" s="39">
        <f>V23:V40*AN23:AN40</f>
        <v>440.50915286538452</v>
      </c>
      <c r="BG30" s="39">
        <f t="shared" si="24"/>
        <v>4644.6000000000004</v>
      </c>
      <c r="BH30" s="39">
        <f t="shared" si="25"/>
        <v>0</v>
      </c>
      <c r="BI30" s="39">
        <f t="shared" si="42"/>
        <v>366.12</v>
      </c>
      <c r="BJ30" s="39">
        <f>(BK23:BK40+AN23:AN40)*Retirement_plan_contribution_percent_of_base_pay</f>
        <v>2722.3465647080761</v>
      </c>
      <c r="BK30" s="39">
        <f>Bonus_percent_of_base_pay*AN30</f>
        <v>2643.0549171923071</v>
      </c>
    </row>
    <row r="31" spans="1:63" s="14" customFormat="1" x14ac:dyDescent="0.2">
      <c r="A31" s="825" t="s">
        <v>1012</v>
      </c>
      <c r="B31" s="826"/>
      <c r="C31" s="826">
        <v>12</v>
      </c>
      <c r="D31" s="826" t="s">
        <v>626</v>
      </c>
      <c r="E31" s="76">
        <f t="shared" si="0"/>
        <v>0</v>
      </c>
      <c r="F31" s="822"/>
      <c r="G31" s="796">
        <v>0</v>
      </c>
      <c r="H31" s="796">
        <v>0</v>
      </c>
      <c r="I31" s="796"/>
      <c r="J31" s="796"/>
      <c r="K31" s="49">
        <f>+$K$6*L31</f>
        <v>76.090510817598968</v>
      </c>
      <c r="L31" s="36">
        <f t="shared" si="10"/>
        <v>19.95</v>
      </c>
      <c r="M31" s="39">
        <f>+N31*24</f>
        <v>41496</v>
      </c>
      <c r="N31" s="828">
        <v>1729</v>
      </c>
      <c r="O31" s="829">
        <v>8</v>
      </c>
      <c r="P31" s="36">
        <f>+O31*5</f>
        <v>40</v>
      </c>
      <c r="Q31" s="830">
        <v>0</v>
      </c>
      <c r="R31" s="39">
        <f t="shared" si="11"/>
        <v>2080</v>
      </c>
      <c r="S31" s="814">
        <v>64</v>
      </c>
      <c r="T31" s="814">
        <v>80</v>
      </c>
      <c r="U31" s="814">
        <v>0</v>
      </c>
      <c r="V31" s="796">
        <v>5.0000000000000001E-3</v>
      </c>
      <c r="W31" s="814">
        <v>387.05</v>
      </c>
      <c r="X31" s="831">
        <v>0</v>
      </c>
      <c r="Y31" s="831">
        <v>30.43</v>
      </c>
      <c r="Z31" s="832">
        <v>0</v>
      </c>
      <c r="AA31" s="832">
        <v>0</v>
      </c>
      <c r="AB31" s="39">
        <f t="shared" si="6"/>
        <v>0</v>
      </c>
      <c r="AC31" s="39">
        <f>IF(Q31&gt;0,AK31-#REF!,0)</f>
        <v>0</v>
      </c>
      <c r="AD31" s="39">
        <f t="shared" si="12"/>
        <v>0</v>
      </c>
      <c r="AE31" s="39">
        <f t="shared" si="7"/>
        <v>2080</v>
      </c>
      <c r="AF31" s="39">
        <f t="shared" si="51"/>
        <v>2080</v>
      </c>
      <c r="AG31" s="39">
        <f t="shared" si="13"/>
        <v>144</v>
      </c>
      <c r="AH31" s="39">
        <f>AF31+AG31</f>
        <v>2224</v>
      </c>
      <c r="AI31" s="39">
        <f>AE31+AH31</f>
        <v>4304</v>
      </c>
      <c r="AJ31" s="39">
        <f>S31+T31+U31</f>
        <v>144</v>
      </c>
      <c r="AK31" s="39">
        <f t="shared" si="8"/>
        <v>4160</v>
      </c>
      <c r="AL31" s="125">
        <f t="shared" si="15"/>
        <v>85864.8</v>
      </c>
      <c r="AM31" s="462">
        <f>Annual_raise_percentage*No._months_raise_effective*AL31</f>
        <v>1287.972</v>
      </c>
      <c r="AN31" s="125">
        <f>+AL31+AM31</f>
        <v>87152.771999999997</v>
      </c>
      <c r="AO31" s="125">
        <f t="shared" si="3"/>
        <v>0</v>
      </c>
      <c r="AP31" s="125"/>
      <c r="AQ31" s="125"/>
      <c r="AR31" s="125">
        <f t="shared" si="16"/>
        <v>84279.971999999994</v>
      </c>
      <c r="AS31" s="125">
        <f t="shared" si="17"/>
        <v>2872.8</v>
      </c>
      <c r="AT31" s="125">
        <f>AR31+AS31</f>
        <v>87152.771999999997</v>
      </c>
      <c r="AU31" s="125">
        <f t="shared" si="18"/>
        <v>1276.8</v>
      </c>
      <c r="AV31" s="125">
        <f t="shared" si="19"/>
        <v>1596</v>
      </c>
      <c r="AW31" s="125">
        <f t="shared" si="20"/>
        <v>0</v>
      </c>
      <c r="AX31" s="125">
        <f>+AR31+AS31</f>
        <v>87152.771999999997</v>
      </c>
      <c r="AY31" s="125">
        <f>AU31+AV31+AW31</f>
        <v>2872.8</v>
      </c>
      <c r="AZ31" s="125">
        <f>AN31-AY31</f>
        <v>84279.971999999994</v>
      </c>
      <c r="BA31" s="39">
        <f>IF(AN31:AN40&lt;Fica_wages,AN31:AN40*Fica_rate,Fica_wages*Fica_rate)</f>
        <v>5403.4718640000001</v>
      </c>
      <c r="BB31" s="39">
        <f>IF(AN31:AN40&lt;Medicare_wages,AN31:AN40*Medicare_rate,Medicare_rate*Medicare_wages)</f>
        <v>1263.7151940000001</v>
      </c>
      <c r="BC31" s="39">
        <f>IF(BA31+(BK31*Fica_rate)&lt;Fica_rate*Fica_wages,BK31*Fica_rate,(Fica_rate*Fica_wages)-BA31)+IF(BB31+(BK31*Medicare_rate)&lt;Medicare_rate*Medicare_wages,BK31*Medicare_rate,(Medicare_rate*Medicare_wages)-BB31)</f>
        <v>200.01561174</v>
      </c>
      <c r="BD31" s="39">
        <f>IF(AN31&gt;Federal_unemployment_amount,Federal_unemployment_amount*Federal_unemployment_rate,AN31*Federal_unemployment_rate)</f>
        <v>56</v>
      </c>
      <c r="BE31" s="39">
        <f t="shared" si="43"/>
        <v>164.01</v>
      </c>
      <c r="BF31" s="39">
        <f>V27:V40*AN27:AN40</f>
        <v>435.76386000000002</v>
      </c>
      <c r="BG31" s="39">
        <f t="shared" si="24"/>
        <v>4644.6000000000004</v>
      </c>
      <c r="BH31" s="39">
        <f t="shared" si="25"/>
        <v>0</v>
      </c>
      <c r="BI31" s="39">
        <f t="shared" si="42"/>
        <v>365.15999999999997</v>
      </c>
      <c r="BJ31" s="39">
        <f>(BK27:BK40+AN27:AN40)*Retirement_plan_contribution_percent_of_base_pay</f>
        <v>2693.0206547999996</v>
      </c>
      <c r="BK31" s="39">
        <f>Bonus_percent_of_base_pay*AN31</f>
        <v>2614.5831599999997</v>
      </c>
    </row>
    <row r="32" spans="1:63" s="14" customFormat="1" x14ac:dyDescent="0.2">
      <c r="A32" s="825" t="s">
        <v>1013</v>
      </c>
      <c r="B32" s="826"/>
      <c r="C32" s="826">
        <v>12</v>
      </c>
      <c r="D32" s="826" t="s">
        <v>626</v>
      </c>
      <c r="E32" s="76">
        <f t="shared" si="0"/>
        <v>0</v>
      </c>
      <c r="F32" s="822"/>
      <c r="G32" s="796">
        <v>0</v>
      </c>
      <c r="H32" s="796">
        <v>0</v>
      </c>
      <c r="I32" s="796"/>
      <c r="J32" s="796"/>
      <c r="K32" s="49">
        <f>+$K$6*L32</f>
        <v>87.723579298366516</v>
      </c>
      <c r="L32" s="36">
        <f t="shared" si="10"/>
        <v>23.000048076923079</v>
      </c>
      <c r="M32" s="39">
        <f>+N32*24</f>
        <v>38272.080000000002</v>
      </c>
      <c r="N32" s="828">
        <v>1594.67</v>
      </c>
      <c r="O32" s="829">
        <v>6.4</v>
      </c>
      <c r="P32" s="36">
        <f>+O32*5</f>
        <v>32</v>
      </c>
      <c r="Q32" s="830">
        <v>0</v>
      </c>
      <c r="R32" s="39">
        <f t="shared" si="11"/>
        <v>1664</v>
      </c>
      <c r="S32" s="814">
        <v>64</v>
      </c>
      <c r="T32" s="814">
        <v>80</v>
      </c>
      <c r="U32" s="814">
        <v>0</v>
      </c>
      <c r="V32" s="796">
        <v>5.0000000000000001E-3</v>
      </c>
      <c r="W32" s="814">
        <v>536.42999999999995</v>
      </c>
      <c r="X32" s="831">
        <v>149.38</v>
      </c>
      <c r="Y32" s="831">
        <v>28.07</v>
      </c>
      <c r="Z32" s="832">
        <v>0</v>
      </c>
      <c r="AA32" s="832">
        <v>0</v>
      </c>
      <c r="AB32" s="39">
        <f t="shared" si="6"/>
        <v>0</v>
      </c>
      <c r="AC32" s="39">
        <f>IF(Q32&gt;0,AK32-#REF!,0)</f>
        <v>0</v>
      </c>
      <c r="AD32" s="39">
        <f t="shared" si="12"/>
        <v>0</v>
      </c>
      <c r="AE32" s="39">
        <f t="shared" si="7"/>
        <v>1664</v>
      </c>
      <c r="AF32" s="39">
        <f t="shared" si="51"/>
        <v>1664</v>
      </c>
      <c r="AG32" s="39">
        <f t="shared" si="13"/>
        <v>144</v>
      </c>
      <c r="AH32" s="39">
        <f>AF32+AG32</f>
        <v>1808</v>
      </c>
      <c r="AI32" s="39">
        <f>AE32+AH32</f>
        <v>3472</v>
      </c>
      <c r="AJ32" s="39">
        <f>S32+T32+U32</f>
        <v>144</v>
      </c>
      <c r="AK32" s="39">
        <f t="shared" si="8"/>
        <v>3328</v>
      </c>
      <c r="AL32" s="125">
        <f t="shared" si="15"/>
        <v>79856.166923076933</v>
      </c>
      <c r="AM32" s="462">
        <f>Annual_raise_percentage*No._months_raise_effective*AL32</f>
        <v>1197.8425038461539</v>
      </c>
      <c r="AN32" s="125">
        <f>+AL32+AM32</f>
        <v>81054.00942692309</v>
      </c>
      <c r="AO32" s="125">
        <f t="shared" si="3"/>
        <v>0</v>
      </c>
      <c r="AP32" s="125"/>
      <c r="AQ32" s="125"/>
      <c r="AR32" s="125">
        <f t="shared" si="16"/>
        <v>77742.002503846161</v>
      </c>
      <c r="AS32" s="125">
        <f t="shared" si="17"/>
        <v>3312.0069230769232</v>
      </c>
      <c r="AT32" s="125">
        <f>AR32+AS32</f>
        <v>81054.00942692309</v>
      </c>
      <c r="AU32" s="125">
        <f t="shared" si="18"/>
        <v>1472.0030769230771</v>
      </c>
      <c r="AV32" s="125">
        <f t="shared" si="19"/>
        <v>1840.0038461538463</v>
      </c>
      <c r="AW32" s="125">
        <f t="shared" si="20"/>
        <v>0</v>
      </c>
      <c r="AX32" s="125">
        <f>+AR32+AS32</f>
        <v>81054.00942692309</v>
      </c>
      <c r="AY32" s="125">
        <f>AU32+AV32+AW32</f>
        <v>3312.0069230769232</v>
      </c>
      <c r="AZ32" s="125">
        <f>AN32-AY32</f>
        <v>77742.002503846161</v>
      </c>
      <c r="BA32" s="39">
        <f>IF(AN24:AN40&lt;Fica_wages,AN24:AN40*Fica_rate,Fica_wages*Fica_rate)</f>
        <v>5025.3485844692314</v>
      </c>
      <c r="BB32" s="39">
        <f>IF(AN24:AN40&lt;Medicare_wages,AN24:AN40*Medicare_rate,Medicare_rate*Medicare_wages)</f>
        <v>1175.2831366903849</v>
      </c>
      <c r="BC32" s="39">
        <f>IF(BA32+(BK32*Fica_rate)&lt;Fica_rate*Fica_wages,BK32*Fica_rate,(Fica_rate*Fica_wages)-BA32)+IF(BB32+(BK32*Medicare_rate)&lt;Medicare_rate*Medicare_wages,BK32*Medicare_rate,(Medicare_rate*Medicare_wages)-BB32)</f>
        <v>186.01895163478849</v>
      </c>
      <c r="BD32" s="39">
        <f>IF(AN32&gt;Federal_unemployment_amount,Federal_unemployment_amount*Federal_unemployment_rate,AN32*Federal_unemployment_rate)</f>
        <v>56</v>
      </c>
      <c r="BE32" s="39">
        <f t="shared" si="43"/>
        <v>164.01</v>
      </c>
      <c r="BF32" s="39">
        <f>V24:V40*AN24:AN40</f>
        <v>405.27004713461548</v>
      </c>
      <c r="BG32" s="39">
        <f t="shared" si="24"/>
        <v>6437.16</v>
      </c>
      <c r="BH32" s="39">
        <f t="shared" si="25"/>
        <v>-1792.56</v>
      </c>
      <c r="BI32" s="39">
        <f t="shared" si="42"/>
        <v>336.84000000000003</v>
      </c>
      <c r="BJ32" s="39">
        <f>(BK24:BK40+AN24:AN40)*Retirement_plan_contribution_percent_of_base_pay</f>
        <v>2504.5688912919236</v>
      </c>
      <c r="BK32" s="39">
        <f>Bonus_percent_of_base_pay*AN32</f>
        <v>2431.6202828076925</v>
      </c>
    </row>
    <row r="33" spans="1:63" s="14" customFormat="1" x14ac:dyDescent="0.2">
      <c r="A33" s="825" t="s">
        <v>1014</v>
      </c>
      <c r="B33" s="826"/>
      <c r="C33" s="826">
        <v>12</v>
      </c>
      <c r="D33" s="826" t="s">
        <v>626</v>
      </c>
      <c r="E33" s="76">
        <f t="shared" si="0"/>
        <v>0</v>
      </c>
      <c r="F33" s="822"/>
      <c r="G33" s="796">
        <v>0</v>
      </c>
      <c r="H33" s="796">
        <v>0</v>
      </c>
      <c r="I33" s="796"/>
      <c r="J33" s="796"/>
      <c r="K33" s="49">
        <f>+$K$6*L33</f>
        <v>87.723689319348026</v>
      </c>
      <c r="L33" s="36">
        <f t="shared" si="10"/>
        <v>23.000076923076922</v>
      </c>
      <c r="M33" s="39">
        <f t="shared" si="28"/>
        <v>23920.079999999998</v>
      </c>
      <c r="N33" s="828">
        <v>996.67</v>
      </c>
      <c r="O33" s="829">
        <v>4</v>
      </c>
      <c r="P33" s="36">
        <f t="shared" si="29"/>
        <v>20</v>
      </c>
      <c r="Q33" s="830">
        <v>0</v>
      </c>
      <c r="R33" s="39">
        <f t="shared" si="11"/>
        <v>1040</v>
      </c>
      <c r="S33" s="814">
        <v>0</v>
      </c>
      <c r="T33" s="814">
        <v>0</v>
      </c>
      <c r="U33" s="814">
        <v>0</v>
      </c>
      <c r="V33" s="796">
        <v>5.0000000000000001E-3</v>
      </c>
      <c r="W33" s="814">
        <v>0</v>
      </c>
      <c r="X33" s="831">
        <v>0</v>
      </c>
      <c r="Y33" s="831">
        <v>28.07</v>
      </c>
      <c r="Z33" s="832">
        <v>0</v>
      </c>
      <c r="AA33" s="832">
        <v>0</v>
      </c>
      <c r="AB33" s="39">
        <f t="shared" si="6"/>
        <v>0</v>
      </c>
      <c r="AC33" s="39">
        <f>IF(Q33&gt;0,AK33-#REF!,0)</f>
        <v>0</v>
      </c>
      <c r="AD33" s="39">
        <f t="shared" si="12"/>
        <v>0</v>
      </c>
      <c r="AE33" s="39">
        <f t="shared" si="7"/>
        <v>1040</v>
      </c>
      <c r="AF33" s="39">
        <f t="shared" si="51"/>
        <v>1040</v>
      </c>
      <c r="AG33" s="39">
        <f t="shared" si="13"/>
        <v>0</v>
      </c>
      <c r="AH33" s="39">
        <f t="shared" si="44"/>
        <v>1040</v>
      </c>
      <c r="AI33" s="39">
        <f t="shared" si="45"/>
        <v>2080</v>
      </c>
      <c r="AJ33" s="39">
        <f>S33+T33+U33</f>
        <v>0</v>
      </c>
      <c r="AK33" s="39">
        <f t="shared" si="8"/>
        <v>2080</v>
      </c>
      <c r="AL33" s="125">
        <f t="shared" si="15"/>
        <v>47840.159999999996</v>
      </c>
      <c r="AM33" s="462">
        <f t="shared" si="46"/>
        <v>717.60239999999988</v>
      </c>
      <c r="AN33" s="125">
        <f t="shared" si="47"/>
        <v>48557.7624</v>
      </c>
      <c r="AO33" s="125">
        <f t="shared" si="3"/>
        <v>0</v>
      </c>
      <c r="AP33" s="125"/>
      <c r="AQ33" s="125"/>
      <c r="AR33" s="125">
        <f t="shared" si="16"/>
        <v>48557.7624</v>
      </c>
      <c r="AS33" s="125">
        <f t="shared" si="17"/>
        <v>0</v>
      </c>
      <c r="AT33" s="125">
        <f t="shared" si="48"/>
        <v>48557.7624</v>
      </c>
      <c r="AU33" s="125">
        <f t="shared" si="18"/>
        <v>0</v>
      </c>
      <c r="AV33" s="125">
        <f t="shared" si="19"/>
        <v>0</v>
      </c>
      <c r="AW33" s="125">
        <f t="shared" si="20"/>
        <v>0</v>
      </c>
      <c r="AX33" s="125">
        <f t="shared" si="52"/>
        <v>48557.7624</v>
      </c>
      <c r="AY33" s="125">
        <f t="shared" si="49"/>
        <v>0</v>
      </c>
      <c r="AZ33" s="125">
        <f>AN33-AY33</f>
        <v>48557.7624</v>
      </c>
      <c r="BA33" s="39">
        <f>IF(AN23:AN40&lt;Fica_wages,AN23:AN40*Fica_rate,Fica_wages*Fica_rate)</f>
        <v>3010.5812688000001</v>
      </c>
      <c r="BB33" s="39">
        <f>IF(AN23:AN40&lt;Medicare_wages,AN23:AN40*Medicare_rate,Medicare_rate*Medicare_wages)</f>
        <v>704.08755480000002</v>
      </c>
      <c r="BC33" s="39">
        <f t="shared" si="50"/>
        <v>111.44006470799999</v>
      </c>
      <c r="BD33" s="39">
        <f>IF(AN33&gt;Federal_unemployment_amount,Federal_unemployment_amount*Federal_unemployment_rate,AN33*Federal_unemployment_rate)</f>
        <v>56</v>
      </c>
      <c r="BE33" s="39">
        <f t="shared" si="43"/>
        <v>164.01</v>
      </c>
      <c r="BF33" s="39">
        <f>V23:V40*AN23:AN40</f>
        <v>242.78881200000001</v>
      </c>
      <c r="BG33" s="39">
        <f t="shared" si="24"/>
        <v>0</v>
      </c>
      <c r="BH33" s="39">
        <f t="shared" si="25"/>
        <v>0</v>
      </c>
      <c r="BI33" s="39">
        <f t="shared" si="42"/>
        <v>336.84000000000003</v>
      </c>
      <c r="BJ33" s="39">
        <f>(BK23:BK40+AN23:AN40)*Retirement_plan_contribution_percent_of_base_pay</f>
        <v>1500.43485816</v>
      </c>
      <c r="BK33" s="39">
        <f>Bonus_percent_of_base_pay*AN33</f>
        <v>1456.732872</v>
      </c>
    </row>
    <row r="34" spans="1:63" s="14" customFormat="1" ht="13.5" thickBot="1" x14ac:dyDescent="0.25">
      <c r="A34" s="71"/>
      <c r="B34" s="72"/>
      <c r="C34" s="72"/>
      <c r="D34" s="72"/>
      <c r="E34" s="77"/>
      <c r="F34" s="73"/>
      <c r="G34" s="77"/>
      <c r="H34" s="72"/>
      <c r="I34" s="72"/>
      <c r="J34" s="72"/>
      <c r="K34" s="73"/>
      <c r="L34" s="72"/>
      <c r="M34" s="119"/>
      <c r="N34" s="119"/>
      <c r="O34" s="72"/>
      <c r="P34" s="72"/>
      <c r="Q34" s="463"/>
      <c r="R34" s="119"/>
      <c r="S34" s="119"/>
      <c r="T34" s="119"/>
      <c r="U34" s="119"/>
      <c r="V34" s="72"/>
      <c r="W34" s="119"/>
      <c r="X34" s="73"/>
      <c r="Y34" s="73"/>
      <c r="Z34" s="72"/>
      <c r="AA34" s="72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464"/>
      <c r="AM34" s="465"/>
      <c r="AN34" s="464"/>
      <c r="AO34" s="465"/>
      <c r="AP34" s="466"/>
      <c r="AQ34" s="466"/>
      <c r="AR34" s="466"/>
      <c r="AS34" s="466"/>
      <c r="AT34" s="466"/>
      <c r="AU34" s="466"/>
      <c r="AV34" s="466"/>
      <c r="AW34" s="466"/>
      <c r="AX34" s="464"/>
      <c r="AY34" s="466"/>
      <c r="AZ34" s="466"/>
      <c r="BA34" s="72"/>
      <c r="BB34" s="72"/>
      <c r="BC34" s="72"/>
      <c r="BD34" s="72"/>
      <c r="BE34" s="72"/>
      <c r="BF34" s="72"/>
      <c r="BG34" s="119"/>
      <c r="BH34" s="119"/>
      <c r="BI34" s="119"/>
      <c r="BJ34" s="119"/>
      <c r="BK34" s="119"/>
    </row>
    <row r="35" spans="1:63" s="70" customFormat="1" x14ac:dyDescent="0.2">
      <c r="A35" s="68" t="s">
        <v>628</v>
      </c>
      <c r="B35" s="69"/>
      <c r="C35" s="69"/>
      <c r="E35" s="39">
        <f>SUM(E8:E9)</f>
        <v>326048.32</v>
      </c>
      <c r="F35" s="74">
        <f>SUM(F8:F9)</f>
        <v>241.16</v>
      </c>
      <c r="G35" s="823">
        <v>0.65</v>
      </c>
      <c r="H35" s="1"/>
      <c r="I35" s="1"/>
      <c r="J35" s="1"/>
      <c r="K35" s="74">
        <f t="shared" ref="K35:P35" si="53">SUM(K8:K9)</f>
        <v>76.281067157587529</v>
      </c>
      <c r="L35" s="74">
        <f t="shared" si="53"/>
        <v>19.999961538461537</v>
      </c>
      <c r="M35" s="39">
        <f t="shared" si="53"/>
        <v>41599.919999999998</v>
      </c>
      <c r="N35" s="39">
        <f t="shared" si="53"/>
        <v>1733.33</v>
      </c>
      <c r="O35" s="37">
        <f t="shared" si="53"/>
        <v>8</v>
      </c>
      <c r="P35" s="37">
        <f t="shared" si="53"/>
        <v>40</v>
      </c>
      <c r="Q35" s="37"/>
      <c r="R35" s="39">
        <f>SUM(R8:R9)</f>
        <v>2080</v>
      </c>
      <c r="S35" s="39">
        <f t="shared" ref="S35:BK35" si="54">SUM(S8:S9)</f>
        <v>64</v>
      </c>
      <c r="T35" s="39">
        <f t="shared" si="54"/>
        <v>80</v>
      </c>
      <c r="U35" s="39">
        <f t="shared" si="54"/>
        <v>0</v>
      </c>
      <c r="V35" s="37"/>
      <c r="W35" s="39">
        <f t="shared" si="54"/>
        <v>1084.29</v>
      </c>
      <c r="X35" s="37">
        <f t="shared" si="54"/>
        <v>0</v>
      </c>
      <c r="Y35" s="37">
        <f t="shared" si="54"/>
        <v>65.489999999999995</v>
      </c>
      <c r="Z35" s="37">
        <f t="shared" si="54"/>
        <v>0</v>
      </c>
      <c r="AA35" s="37">
        <f t="shared" si="54"/>
        <v>0</v>
      </c>
      <c r="AB35" s="39">
        <f t="shared" si="54"/>
        <v>1352</v>
      </c>
      <c r="AC35" s="39">
        <f t="shared" si="54"/>
        <v>584</v>
      </c>
      <c r="AD35" s="39">
        <f t="shared" si="54"/>
        <v>144</v>
      </c>
      <c r="AE35" s="39">
        <f t="shared" si="54"/>
        <v>2080</v>
      </c>
      <c r="AF35" s="39">
        <f t="shared" si="54"/>
        <v>0</v>
      </c>
      <c r="AG35" s="39">
        <f t="shared" si="54"/>
        <v>0</v>
      </c>
      <c r="AH35" s="39">
        <f t="shared" si="54"/>
        <v>0</v>
      </c>
      <c r="AI35" s="39">
        <f t="shared" si="54"/>
        <v>2080</v>
      </c>
      <c r="AJ35" s="39">
        <f t="shared" si="54"/>
        <v>144</v>
      </c>
      <c r="AK35" s="39">
        <f t="shared" si="54"/>
        <v>1936</v>
      </c>
      <c r="AL35" s="125">
        <f t="shared" si="54"/>
        <v>41599.919999999998</v>
      </c>
      <c r="AM35" s="125">
        <f t="shared" si="54"/>
        <v>623.99879999999996</v>
      </c>
      <c r="AN35" s="125">
        <f t="shared" si="54"/>
        <v>42223.918799999999</v>
      </c>
      <c r="AO35" s="125">
        <f t="shared" si="54"/>
        <v>27039.948</v>
      </c>
      <c r="AP35" s="125">
        <f t="shared" si="54"/>
        <v>12303.976338461538</v>
      </c>
      <c r="AQ35" s="125">
        <f t="shared" si="54"/>
        <v>2879.9944615384611</v>
      </c>
      <c r="AR35" s="125">
        <f t="shared" si="54"/>
        <v>0</v>
      </c>
      <c r="AS35" s="125">
        <f t="shared" si="54"/>
        <v>0</v>
      </c>
      <c r="AT35" s="125">
        <f t="shared" si="54"/>
        <v>0</v>
      </c>
      <c r="AU35" s="125">
        <f t="shared" si="54"/>
        <v>1279.9975384615384</v>
      </c>
      <c r="AV35" s="125">
        <f t="shared" si="54"/>
        <v>1599.9969230769229</v>
      </c>
      <c r="AW35" s="125">
        <f t="shared" si="54"/>
        <v>0</v>
      </c>
      <c r="AX35" s="125">
        <f t="shared" si="54"/>
        <v>42223.918799999999</v>
      </c>
      <c r="AY35" s="125">
        <f t="shared" si="54"/>
        <v>2879.9944615384611</v>
      </c>
      <c r="AZ35" s="125">
        <f t="shared" si="54"/>
        <v>39343.92433846154</v>
      </c>
      <c r="BA35" s="39">
        <f t="shared" si="54"/>
        <v>2617.8829655999998</v>
      </c>
      <c r="BB35" s="39">
        <f t="shared" si="54"/>
        <v>612.24682259999997</v>
      </c>
      <c r="BC35" s="39">
        <f t="shared" si="54"/>
        <v>96.903893646</v>
      </c>
      <c r="BD35" s="39">
        <f t="shared" si="54"/>
        <v>56</v>
      </c>
      <c r="BE35" s="39">
        <f t="shared" si="54"/>
        <v>164.01</v>
      </c>
      <c r="BF35" s="39">
        <f t="shared" si="54"/>
        <v>633.35878200000002</v>
      </c>
      <c r="BG35" s="39">
        <f t="shared" si="54"/>
        <v>13011.48</v>
      </c>
      <c r="BH35" s="39">
        <f t="shared" si="54"/>
        <v>0</v>
      </c>
      <c r="BI35" s="39">
        <f t="shared" si="54"/>
        <v>785.87999999999988</v>
      </c>
      <c r="BJ35" s="39">
        <f t="shared" si="54"/>
        <v>1304.7190909199999</v>
      </c>
      <c r="BK35" s="39">
        <f t="shared" si="54"/>
        <v>1266.717564</v>
      </c>
    </row>
    <row r="36" spans="1:63" s="17" customFormat="1" ht="13.5" thickBot="1" x14ac:dyDescent="0.25">
      <c r="A36" s="19" t="s">
        <v>627</v>
      </c>
      <c r="B36" s="20"/>
      <c r="C36" s="20"/>
      <c r="D36" s="21"/>
      <c r="E36" s="42">
        <f>SUM(E12:E34)</f>
        <v>1970741.76</v>
      </c>
      <c r="F36" s="75">
        <f>SUM(F12:F34)</f>
        <v>1579.12</v>
      </c>
      <c r="G36" s="824">
        <v>0.75</v>
      </c>
      <c r="H36" s="46"/>
      <c r="I36" s="46"/>
      <c r="J36" s="46"/>
      <c r="K36" s="75">
        <f t="shared" ref="K36:P36" si="55">SUM(K12:K34)</f>
        <v>2242.6534945489329</v>
      </c>
      <c r="L36" s="75">
        <f t="shared" si="55"/>
        <v>587.99627884615393</v>
      </c>
      <c r="M36" s="42">
        <f t="shared" si="55"/>
        <v>972372.96</v>
      </c>
      <c r="N36" s="42">
        <f t="shared" si="55"/>
        <v>40515.540000000008</v>
      </c>
      <c r="O36" s="22">
        <f t="shared" si="55"/>
        <v>140.00000000000003</v>
      </c>
      <c r="P36" s="22">
        <f t="shared" si="55"/>
        <v>700</v>
      </c>
      <c r="Q36" s="22"/>
      <c r="R36" s="42">
        <f>SUM(R12:R34)</f>
        <v>36400</v>
      </c>
      <c r="S36" s="42">
        <f t="shared" ref="S36:BK36" si="56">SUM(S12:S34)</f>
        <v>1344</v>
      </c>
      <c r="T36" s="42">
        <f t="shared" si="56"/>
        <v>1680</v>
      </c>
      <c r="U36" s="42">
        <f t="shared" si="56"/>
        <v>0</v>
      </c>
      <c r="V36" s="22"/>
      <c r="W36" s="42">
        <f t="shared" si="56"/>
        <v>10185.56</v>
      </c>
      <c r="X36" s="22">
        <f t="shared" si="56"/>
        <v>1770.1400000000003</v>
      </c>
      <c r="Y36" s="22">
        <f t="shared" si="56"/>
        <v>723.66000000000008</v>
      </c>
      <c r="Z36" s="22">
        <f t="shared" si="56"/>
        <v>0</v>
      </c>
      <c r="AA36" s="22">
        <f t="shared" si="56"/>
        <v>0</v>
      </c>
      <c r="AB36" s="42">
        <f t="shared" si="56"/>
        <v>21216</v>
      </c>
      <c r="AC36" s="42">
        <f t="shared" si="56"/>
        <v>4624</v>
      </c>
      <c r="AD36" s="42">
        <f t="shared" si="56"/>
        <v>2448</v>
      </c>
      <c r="AE36" s="42">
        <f t="shared" si="56"/>
        <v>36400</v>
      </c>
      <c r="AF36" s="42">
        <f t="shared" si="56"/>
        <v>8112</v>
      </c>
      <c r="AG36" s="42">
        <f t="shared" si="56"/>
        <v>576</v>
      </c>
      <c r="AH36" s="42">
        <f t="shared" si="56"/>
        <v>8688</v>
      </c>
      <c r="AI36" s="42">
        <f t="shared" si="56"/>
        <v>45088</v>
      </c>
      <c r="AJ36" s="42">
        <f t="shared" si="56"/>
        <v>3024</v>
      </c>
      <c r="AK36" s="42">
        <f t="shared" si="56"/>
        <v>42064</v>
      </c>
      <c r="AL36" s="126">
        <f t="shared" si="56"/>
        <v>1186912.4376923074</v>
      </c>
      <c r="AM36" s="126">
        <f t="shared" si="56"/>
        <v>17803.686565384614</v>
      </c>
      <c r="AN36" s="126">
        <f t="shared" si="56"/>
        <v>1204716.1242576917</v>
      </c>
      <c r="AO36" s="126">
        <f t="shared" si="56"/>
        <v>579265.92000000004</v>
      </c>
      <c r="AP36" s="126">
        <f t="shared" si="56"/>
        <v>137835.58301538462</v>
      </c>
      <c r="AQ36" s="126">
        <f t="shared" si="56"/>
        <v>66838.375384615385</v>
      </c>
      <c r="AR36" s="126">
        <f t="shared" si="56"/>
        <v>406255.16816538456</v>
      </c>
      <c r="AS36" s="126">
        <f t="shared" si="56"/>
        <v>14521.077692307692</v>
      </c>
      <c r="AT36" s="126">
        <f t="shared" si="56"/>
        <v>420776.24585769232</v>
      </c>
      <c r="AU36" s="126">
        <f t="shared" si="56"/>
        <v>36159.75692307693</v>
      </c>
      <c r="AV36" s="126">
        <f t="shared" si="56"/>
        <v>45199.696153846155</v>
      </c>
      <c r="AW36" s="126">
        <f t="shared" si="56"/>
        <v>0</v>
      </c>
      <c r="AX36" s="126">
        <f t="shared" si="56"/>
        <v>1204716.1242576917</v>
      </c>
      <c r="AY36" s="126">
        <f t="shared" si="56"/>
        <v>81359.453076923077</v>
      </c>
      <c r="AZ36" s="126">
        <f t="shared" si="56"/>
        <v>1123356.6711807691</v>
      </c>
      <c r="BA36" s="42">
        <f t="shared" si="56"/>
        <v>74363.187673599998</v>
      </c>
      <c r="BB36" s="42">
        <f t="shared" si="56"/>
        <v>17468.383801736538</v>
      </c>
      <c r="BC36" s="42">
        <f t="shared" si="56"/>
        <v>2549.2311442600967</v>
      </c>
      <c r="BD36" s="42">
        <f t="shared" si="56"/>
        <v>1232</v>
      </c>
      <c r="BE36" s="42">
        <f t="shared" si="56"/>
        <v>3608.2200000000021</v>
      </c>
      <c r="BF36" s="42">
        <f t="shared" si="56"/>
        <v>8338.8159212884639</v>
      </c>
      <c r="BG36" s="42">
        <f t="shared" si="56"/>
        <v>122226.72000000006</v>
      </c>
      <c r="BH36" s="42">
        <f t="shared" si="56"/>
        <v>-21241.680000000004</v>
      </c>
      <c r="BI36" s="42">
        <f t="shared" si="56"/>
        <v>8683.9199999999983</v>
      </c>
      <c r="BJ36" s="42">
        <f t="shared" si="56"/>
        <v>37225.72823956269</v>
      </c>
      <c r="BK36" s="42">
        <f t="shared" si="56"/>
        <v>36141.48372773076</v>
      </c>
    </row>
    <row r="37" spans="1:63" s="17" customFormat="1" x14ac:dyDescent="0.2">
      <c r="A37" s="15"/>
      <c r="B37" s="16"/>
      <c r="C37" s="16"/>
      <c r="D37" s="467">
        <f>+E38/AB38</f>
        <v>101.77198156682027</v>
      </c>
      <c r="E37" s="41"/>
      <c r="F37" s="91"/>
      <c r="G37" s="18"/>
      <c r="H37" s="45"/>
      <c r="I37" s="45"/>
      <c r="J37" s="45"/>
      <c r="K37" s="91"/>
      <c r="L37" s="91"/>
      <c r="M37" s="41"/>
      <c r="N37" s="41"/>
      <c r="O37" s="18"/>
      <c r="P37" s="18"/>
      <c r="Q37" s="18"/>
      <c r="R37" s="41"/>
      <c r="S37" s="41"/>
      <c r="T37" s="41"/>
      <c r="U37" s="41"/>
      <c r="V37" s="18"/>
      <c r="W37" s="41"/>
      <c r="X37" s="18"/>
      <c r="Y37" s="18"/>
      <c r="Z37" s="18"/>
      <c r="AA37" s="18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</row>
    <row r="38" spans="1:63" s="17" customFormat="1" ht="13.5" thickBot="1" x14ac:dyDescent="0.25">
      <c r="A38" s="15" t="s">
        <v>52</v>
      </c>
      <c r="B38" s="16"/>
      <c r="C38" s="164" t="s">
        <v>979</v>
      </c>
      <c r="E38" s="41">
        <f>E35+E36</f>
        <v>2296790.08</v>
      </c>
      <c r="F38" s="91">
        <f>F35+F36</f>
        <v>1820.28</v>
      </c>
      <c r="G38" s="823">
        <v>0.75</v>
      </c>
      <c r="H38" s="823">
        <v>0.6</v>
      </c>
      <c r="I38" s="45"/>
      <c r="J38" s="45"/>
      <c r="K38" s="91">
        <f>K35+K36</f>
        <v>2318.9345617065205</v>
      </c>
      <c r="L38" s="91">
        <f>L35+L36</f>
        <v>607.99624038461548</v>
      </c>
      <c r="M38" s="41">
        <f t="shared" ref="M38:P38" si="57">M35+M36</f>
        <v>1013972.88</v>
      </c>
      <c r="N38" s="41">
        <f t="shared" si="57"/>
        <v>42248.87000000001</v>
      </c>
      <c r="O38" s="18">
        <f t="shared" si="57"/>
        <v>148.00000000000003</v>
      </c>
      <c r="P38" s="18">
        <f t="shared" si="57"/>
        <v>740</v>
      </c>
      <c r="Q38" s="18"/>
      <c r="R38" s="41">
        <f>R35+R36</f>
        <v>38480</v>
      </c>
      <c r="S38" s="41">
        <f t="shared" ref="S38:X38" si="58">S35+S36</f>
        <v>1408</v>
      </c>
      <c r="T38" s="41">
        <f t="shared" si="58"/>
        <v>1760</v>
      </c>
      <c r="U38" s="41">
        <f t="shared" si="58"/>
        <v>0</v>
      </c>
      <c r="V38" s="18"/>
      <c r="W38" s="41">
        <f t="shared" si="58"/>
        <v>11269.849999999999</v>
      </c>
      <c r="X38" s="18">
        <f t="shared" si="58"/>
        <v>1770.1400000000003</v>
      </c>
      <c r="Y38" s="18">
        <f t="shared" ref="Y38" si="59">Y35+Y36</f>
        <v>789.15000000000009</v>
      </c>
      <c r="Z38" s="18">
        <f t="shared" ref="Z38:BK38" si="60">Z35+Z36</f>
        <v>0</v>
      </c>
      <c r="AA38" s="18">
        <f t="shared" si="60"/>
        <v>0</v>
      </c>
      <c r="AB38" s="41">
        <f>AB35+AB36</f>
        <v>22568</v>
      </c>
      <c r="AC38" s="41">
        <f t="shared" si="60"/>
        <v>5208</v>
      </c>
      <c r="AD38" s="41">
        <f t="shared" si="60"/>
        <v>2592</v>
      </c>
      <c r="AE38" s="41">
        <f t="shared" si="60"/>
        <v>38480</v>
      </c>
      <c r="AF38" s="41">
        <f t="shared" si="60"/>
        <v>8112</v>
      </c>
      <c r="AG38" s="41">
        <f t="shared" si="60"/>
        <v>576</v>
      </c>
      <c r="AH38" s="41">
        <f t="shared" si="60"/>
        <v>8688</v>
      </c>
      <c r="AI38" s="41">
        <f t="shared" si="60"/>
        <v>47168</v>
      </c>
      <c r="AJ38" s="41">
        <f t="shared" si="60"/>
        <v>3168</v>
      </c>
      <c r="AK38" s="41">
        <f t="shared" si="60"/>
        <v>44000</v>
      </c>
      <c r="AL38" s="127">
        <f t="shared" si="60"/>
        <v>1228512.3576923073</v>
      </c>
      <c r="AM38" s="127">
        <f t="shared" si="60"/>
        <v>18427.685365384616</v>
      </c>
      <c r="AN38" s="127">
        <f t="shared" si="60"/>
        <v>1246940.0430576918</v>
      </c>
      <c r="AO38" s="127">
        <f t="shared" ref="AO38" si="61">AO35+AO36</f>
        <v>606305.86800000002</v>
      </c>
      <c r="AP38" s="127">
        <f t="shared" si="60"/>
        <v>150139.55935384615</v>
      </c>
      <c r="AQ38" s="127">
        <f t="shared" si="60"/>
        <v>69718.369846153844</v>
      </c>
      <c r="AR38" s="127">
        <f t="shared" si="60"/>
        <v>406255.16816538456</v>
      </c>
      <c r="AS38" s="127">
        <f t="shared" si="60"/>
        <v>14521.077692307692</v>
      </c>
      <c r="AT38" s="127">
        <f t="shared" si="60"/>
        <v>420776.24585769232</v>
      </c>
      <c r="AU38" s="127">
        <f t="shared" si="60"/>
        <v>37439.754461538469</v>
      </c>
      <c r="AV38" s="127">
        <f t="shared" si="60"/>
        <v>46799.693076923075</v>
      </c>
      <c r="AW38" s="127">
        <f t="shared" si="60"/>
        <v>0</v>
      </c>
      <c r="AX38" s="127">
        <f t="shared" ref="AX38" si="62">AX35+AX36</f>
        <v>1246940.0430576918</v>
      </c>
      <c r="AY38" s="127">
        <f t="shared" si="60"/>
        <v>84239.447538461536</v>
      </c>
      <c r="AZ38" s="127">
        <f t="shared" si="60"/>
        <v>1162700.5955192307</v>
      </c>
      <c r="BA38" s="41">
        <f t="shared" si="60"/>
        <v>76981.070639199999</v>
      </c>
      <c r="BB38" s="41">
        <f t="shared" si="60"/>
        <v>18080.630624336536</v>
      </c>
      <c r="BC38" s="41">
        <f t="shared" si="60"/>
        <v>2646.1350379060968</v>
      </c>
      <c r="BD38" s="41">
        <f t="shared" si="60"/>
        <v>1288</v>
      </c>
      <c r="BE38" s="41">
        <f t="shared" si="60"/>
        <v>3772.2300000000023</v>
      </c>
      <c r="BF38" s="41">
        <f t="shared" si="60"/>
        <v>8972.1747032884632</v>
      </c>
      <c r="BG38" s="41">
        <f t="shared" si="60"/>
        <v>135238.20000000007</v>
      </c>
      <c r="BH38" s="41">
        <f t="shared" ref="BH38" si="63">BH35+BH36</f>
        <v>-21241.680000000004</v>
      </c>
      <c r="BI38" s="41">
        <f t="shared" si="60"/>
        <v>9469.7999999999975</v>
      </c>
      <c r="BJ38" s="41">
        <f t="shared" si="60"/>
        <v>38530.44733048269</v>
      </c>
      <c r="BK38" s="41">
        <f t="shared" si="60"/>
        <v>37408.201291730758</v>
      </c>
    </row>
    <row r="39" spans="1:63" ht="13.5" thickTop="1" x14ac:dyDescent="0.2">
      <c r="A39" s="23"/>
      <c r="B39" s="24"/>
      <c r="C39" s="24"/>
      <c r="D39" s="468">
        <f>+E40/AB38</f>
        <v>102.46753716937626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  <c r="R39" s="24"/>
      <c r="S39" s="24"/>
      <c r="T39" s="24"/>
      <c r="U39" s="24"/>
      <c r="V39" s="24"/>
      <c r="W39" s="26"/>
      <c r="X39" s="26"/>
      <c r="Y39" s="26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7"/>
      <c r="AM39" s="27"/>
      <c r="AN39" s="43"/>
      <c r="AO39" s="27"/>
      <c r="AP39" s="24"/>
      <c r="AQ39" s="24"/>
      <c r="AR39" s="24"/>
      <c r="AS39" s="24"/>
      <c r="AT39" s="24"/>
      <c r="AU39" s="24"/>
      <c r="AV39" s="24"/>
      <c r="AW39" s="24"/>
      <c r="AX39" s="43"/>
      <c r="AY39" s="24"/>
      <c r="AZ39" s="24"/>
      <c r="BA39" s="24"/>
      <c r="BB39" s="24"/>
      <c r="BC39" s="24"/>
      <c r="BD39" s="24"/>
      <c r="BE39" s="24"/>
      <c r="BF39" s="24"/>
      <c r="BG39" s="28"/>
      <c r="BH39" s="28"/>
      <c r="BI39" s="24"/>
      <c r="BJ39" s="24"/>
      <c r="BK39" s="24"/>
    </row>
    <row r="40" spans="1:63" x14ac:dyDescent="0.2">
      <c r="A40" s="29"/>
      <c r="B40" s="30"/>
      <c r="C40" s="30" t="s">
        <v>978</v>
      </c>
      <c r="D40" s="30"/>
      <c r="E40" s="469">
        <f>+'Tab-22 ProfitPlan'!C131</f>
        <v>2312487.3788384832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  <c r="R40" s="30"/>
      <c r="S40" s="30"/>
      <c r="T40" s="30"/>
      <c r="U40" s="30"/>
      <c r="V40" s="30"/>
      <c r="W40" s="32"/>
      <c r="X40" s="32"/>
      <c r="Y40" s="32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3"/>
      <c r="AM40" s="33"/>
      <c r="AN40" s="44"/>
      <c r="AO40" s="33"/>
      <c r="AP40" s="30"/>
      <c r="AQ40" s="30"/>
      <c r="AR40" s="30"/>
      <c r="AS40" s="30"/>
      <c r="AT40" s="30"/>
      <c r="AU40" s="30"/>
      <c r="AV40" s="30"/>
      <c r="AW40" s="30"/>
      <c r="AX40" s="44"/>
      <c r="AY40" s="30"/>
      <c r="AZ40" s="30"/>
      <c r="BA40" s="30"/>
      <c r="BB40" s="30"/>
      <c r="BC40" s="30"/>
      <c r="BD40" s="30"/>
      <c r="BE40" s="30"/>
      <c r="BF40" s="30"/>
      <c r="BG40" s="34"/>
      <c r="BH40" s="34"/>
      <c r="BI40" s="30"/>
      <c r="BJ40" s="30"/>
      <c r="BK40" s="30"/>
    </row>
    <row r="41" spans="1:63" ht="13.5" thickBot="1" x14ac:dyDescent="0.25">
      <c r="C41" s="92" t="s">
        <v>977</v>
      </c>
      <c r="D41" s="92"/>
      <c r="E41" s="470">
        <f>+E38-E40</f>
        <v>-15697.29883848317</v>
      </c>
      <c r="F41" s="470">
        <f>+E41/D39</f>
        <v>-153.19289671748362</v>
      </c>
      <c r="G41" s="92" t="s">
        <v>986</v>
      </c>
      <c r="L41" s="14"/>
    </row>
    <row r="42" spans="1:63" ht="13.5" thickBot="1" x14ac:dyDescent="0.25">
      <c r="C42" s="171"/>
      <c r="D42" s="471">
        <f>+D37-D39</f>
        <v>-0.69555560255598436</v>
      </c>
      <c r="E42" s="93"/>
      <c r="F42" s="93"/>
      <c r="G42" s="93"/>
      <c r="L42" s="14"/>
    </row>
    <row r="43" spans="1:63" ht="13.5" thickTop="1" x14ac:dyDescent="0.2"/>
  </sheetData>
  <printOptions horizontalCentered="1" verticalCentered="1" headings="1"/>
  <pageMargins left="0.7" right="0.7" top="0.75" bottom="0.75" header="0.3" footer="0.3"/>
  <pageSetup scale="85" fitToWidth="2" orientation="landscape" r:id="rId1"/>
  <headerFooter>
    <oddHeader>&amp;L&amp;D
&amp;T&amp;C&amp;"Times New Roman,Italic"CAPP * Computer Aided Profit Plan
For Design Firm Financial Contorl
Profit Plan</oddHeader>
    <oddFooter>&amp;L&amp;A&amp;R&amp;P</oddFooter>
  </headerFooter>
  <colBreaks count="4" manualBreakCount="4">
    <brk id="16" max="45" man="1"/>
    <brk id="27" max="45" man="1"/>
    <brk id="37" max="45" man="1"/>
    <brk id="5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17</vt:i4>
      </vt:variant>
      <vt:variant>
        <vt:lpstr>Charts</vt:lpstr>
      </vt:variant>
      <vt:variant>
        <vt:i4>12</vt:i4>
      </vt:variant>
      <vt:variant>
        <vt:lpstr>Named Ranges</vt:lpstr>
      </vt:variant>
      <vt:variant>
        <vt:i4>295</vt:i4>
      </vt:variant>
    </vt:vector>
  </HeadingPairs>
  <TitlesOfParts>
    <vt:vector size="324" baseType="lpstr">
      <vt:lpstr>Tab-1 Executive Summary Content</vt:lpstr>
      <vt:lpstr>Tab-14 CurrentData</vt:lpstr>
      <vt:lpstr>Tab-15 PriorData</vt:lpstr>
      <vt:lpstr>Tab-16 Analysis</vt:lpstr>
      <vt:lpstr>Tab-17 Profit Plan Content</vt:lpstr>
      <vt:lpstr>Tab-18 Rates</vt:lpstr>
      <vt:lpstr>Tab-19 Formula Variables</vt:lpstr>
      <vt:lpstr>Tab-20 ProfitTarget</vt:lpstr>
      <vt:lpstr>Tab-21 Labor Budget</vt:lpstr>
      <vt:lpstr>Tab-22 ProfitPlan</vt:lpstr>
      <vt:lpstr>Tab 23 PlanAnalysis</vt:lpstr>
      <vt:lpstr>Tab-24 TimeAnalysis</vt:lpstr>
      <vt:lpstr>Tab-25 LaborSummary</vt:lpstr>
      <vt:lpstr>Tab-26 Multiple_of_DPE</vt:lpstr>
      <vt:lpstr>Tab-27 PriorKey</vt:lpstr>
      <vt:lpstr>Tab-28 CashPlan</vt:lpstr>
      <vt:lpstr>Tab-29 TaxProvision</vt:lpstr>
      <vt:lpstr>Tab-2 Revenue</vt:lpstr>
      <vt:lpstr>Tab-3 Labor Chart</vt:lpstr>
      <vt:lpstr>Tab-4 Expense</vt:lpstr>
      <vt:lpstr>Tab-5 CashFlowPlan</vt:lpstr>
      <vt:lpstr>Tab-6 Absolute</vt:lpstr>
      <vt:lpstr>Tab-7 FTE</vt:lpstr>
      <vt:lpstr>Tab-8 Revenue Per FTE</vt:lpstr>
      <vt:lpstr>Tab-9 Per Direct Hour</vt:lpstr>
      <vt:lpstr>Tab-10 Multiple of Direct Labor</vt:lpstr>
      <vt:lpstr>Tab-11 Revenue Factor</vt:lpstr>
      <vt:lpstr>Tab-12 Utilization Rates</vt:lpstr>
      <vt:lpstr>Tab-13 YearEndCash&amp;Reveivables</vt:lpstr>
      <vt:lpstr>acc.rec.lya</vt:lpstr>
      <vt:lpstr>acc.rec.lyl</vt:lpstr>
      <vt:lpstr>Accounts_receivable.cya</vt:lpstr>
      <vt:lpstr>Actual.YTD</vt:lpstr>
      <vt:lpstr>Annual_raise_percentage</vt:lpstr>
      <vt:lpstr>ar.variance.lyv</vt:lpstr>
      <vt:lpstr>ave.labor.rate.cyl</vt:lpstr>
      <vt:lpstr>ave.labor.rate.lyl</vt:lpstr>
      <vt:lpstr>Ave_billing_rate_plan</vt:lpstr>
      <vt:lpstr>Ave_direct_labor_rate_employee</vt:lpstr>
      <vt:lpstr>Ave_direct_labor_rate_firmwide</vt:lpstr>
      <vt:lpstr>Ave_direct_labor_rate_plan</vt:lpstr>
      <vt:lpstr>Ave_direct_labor_rate_principal</vt:lpstr>
      <vt:lpstr>Ave_labor_rate_employee</vt:lpstr>
      <vt:lpstr>Ave_labor_rate_firmwide</vt:lpstr>
      <vt:lpstr>Ave_labor_rate_principal</vt:lpstr>
      <vt:lpstr>average.ot.cyl</vt:lpstr>
      <vt:lpstr>average.ot.lyl</vt:lpstr>
      <vt:lpstr>Average_direct_labor_rate.pdh.cya</vt:lpstr>
      <vt:lpstr>Average_overtime_percentage_firmwide.cya</vt:lpstr>
      <vt:lpstr>Benefits_factor</vt:lpstr>
      <vt:lpstr>Benefits_multiplier</vt:lpstr>
      <vt:lpstr>Bonus_percent_of_base_pay</vt:lpstr>
      <vt:lpstr>Break_even.mdl.cya</vt:lpstr>
      <vt:lpstr>Break_even.pdh.cya</vt:lpstr>
      <vt:lpstr>Break_even_cya</vt:lpstr>
      <vt:lpstr>breakeven.cyb</vt:lpstr>
      <vt:lpstr>breakeven.cyl</vt:lpstr>
      <vt:lpstr>breakeven.cyv</vt:lpstr>
      <vt:lpstr>breakeven.lya</vt:lpstr>
      <vt:lpstr>breakeven.lyl</vt:lpstr>
      <vt:lpstr>breakeven.lyv</vt:lpstr>
      <vt:lpstr>breakeven.mdl.cyl</vt:lpstr>
      <vt:lpstr>breakeven.mdl.lyl</vt:lpstr>
      <vt:lpstr>Breakeven_mult</vt:lpstr>
      <vt:lpstr>Breakeven_per_dir_hour</vt:lpstr>
      <vt:lpstr>Budget.YTD</vt:lpstr>
      <vt:lpstr>Calculated.planned.value.Net.Revenue</vt:lpstr>
      <vt:lpstr>Calculated_Planned_Values.total.labor</vt:lpstr>
      <vt:lpstr>cash.lya</vt:lpstr>
      <vt:lpstr>cash.lyl</vt:lpstr>
      <vt:lpstr>cash.lyv</vt:lpstr>
      <vt:lpstr>'Tab-16 Analysis'!Cash_balance.cya</vt:lpstr>
      <vt:lpstr>Current.YTD.Label</vt:lpstr>
      <vt:lpstr>Currrent.YTD.Variance</vt:lpstr>
      <vt:lpstr>cyl.technical.direct</vt:lpstr>
      <vt:lpstr>Depreciation</vt:lpstr>
      <vt:lpstr>direct.labor.cyb</vt:lpstr>
      <vt:lpstr>direct.labor.cyl</vt:lpstr>
      <vt:lpstr>direct.labor.cyv</vt:lpstr>
      <vt:lpstr>direct.labor.lya</vt:lpstr>
      <vt:lpstr>direct.labor.lyl</vt:lpstr>
      <vt:lpstr>direct.labor.lyv</vt:lpstr>
      <vt:lpstr>Direct_labor_mult</vt:lpstr>
      <vt:lpstr>Disability_ins_premium_per_M</vt:lpstr>
      <vt:lpstr>dollars.over.90.cya</vt:lpstr>
      <vt:lpstr>dollars.over.90.lya</vt:lpstr>
      <vt:lpstr>DPE_factor</vt:lpstr>
      <vt:lpstr>DPE_factor_plan</vt:lpstr>
      <vt:lpstr>Federal_unemployment_amount</vt:lpstr>
      <vt:lpstr>Federal_unemployment_rate</vt:lpstr>
      <vt:lpstr>Fica_rate</vt:lpstr>
      <vt:lpstr>Fica_wages</vt:lpstr>
      <vt:lpstr>Firm_wide_dollars.cya</vt:lpstr>
      <vt:lpstr>Firm_wide_standard_hours.cya</vt:lpstr>
      <vt:lpstr>Firm_wide_total_hours.cya</vt:lpstr>
      <vt:lpstr>FTE_Overtime.cya</vt:lpstr>
      <vt:lpstr>FTE_Regular.cya</vt:lpstr>
      <vt:lpstr>FTE_Total_Technical</vt:lpstr>
      <vt:lpstr>FTE_Total_technical_and_nontechnical</vt:lpstr>
      <vt:lpstr>incirect.labor.cyl</vt:lpstr>
      <vt:lpstr>Increase_in_net_worth</vt:lpstr>
      <vt:lpstr>indirect.labor.cyb</vt:lpstr>
      <vt:lpstr>indirect.labor.cyv</vt:lpstr>
      <vt:lpstr>indirect.labor.lya</vt:lpstr>
      <vt:lpstr>indirect.labor.lyl</vt:lpstr>
      <vt:lpstr>indirect.labor.lyv</vt:lpstr>
      <vt:lpstr>Interest_income</vt:lpstr>
      <vt:lpstr>labor.pct.net.rev.cyl</vt:lpstr>
      <vt:lpstr>labor.pct.net.rev.lyl</vt:lpstr>
      <vt:lpstr>Labor_percentage_of_net_revenue</vt:lpstr>
      <vt:lpstr>Labor_percentage_of_net_revenue.cya</vt:lpstr>
      <vt:lpstr>Last.YTD</vt:lpstr>
      <vt:lpstr>Last.YTD.Label</vt:lpstr>
      <vt:lpstr>Last.YTD.Variance</vt:lpstr>
      <vt:lpstr>less</vt:lpstr>
      <vt:lpstr>Less__Total_direct_expense__including_direct_labor.cya</vt:lpstr>
      <vt:lpstr>Less__Total_reimbursable_expense.cya</vt:lpstr>
      <vt:lpstr>lyl.technical.direct</vt:lpstr>
      <vt:lpstr>Markup_other_reimb_expense</vt:lpstr>
      <vt:lpstr>Markup_reimb_consultant</vt:lpstr>
      <vt:lpstr>Medicare_rate</vt:lpstr>
      <vt:lpstr>Medicare_wages</vt:lpstr>
      <vt:lpstr>Multiple_of_DPE</vt:lpstr>
      <vt:lpstr>Multiple_of_DPE_plan</vt:lpstr>
      <vt:lpstr>net.rev.cyl</vt:lpstr>
      <vt:lpstr>net.rev.cyv</vt:lpstr>
      <vt:lpstr>net.rev.fte.cyl</vt:lpstr>
      <vt:lpstr>net.rev.fte.lyl</vt:lpstr>
      <vt:lpstr>net.rev.lya</vt:lpstr>
      <vt:lpstr>net.rev.lyl</vt:lpstr>
      <vt:lpstr>net.rev.mdl.cyl</vt:lpstr>
      <vt:lpstr>net.rev.mdl.lyl</vt:lpstr>
      <vt:lpstr>net.rev.tech.cyl</vt:lpstr>
      <vt:lpstr>net.rev.tech.lyl</vt:lpstr>
      <vt:lpstr>net.revenue.cyb</vt:lpstr>
      <vt:lpstr>net.revenue.cyl</vt:lpstr>
      <vt:lpstr>net.revenue.lyv</vt:lpstr>
      <vt:lpstr>Net.revenue.variance.cyv</vt:lpstr>
      <vt:lpstr>Net.RevenueTechnical_staff.cya</vt:lpstr>
      <vt:lpstr>net.variance.direct.labor</vt:lpstr>
      <vt:lpstr>net.variance.profit</vt:lpstr>
      <vt:lpstr>Net_multiplier</vt:lpstr>
      <vt:lpstr>Net_multiplier_plan</vt:lpstr>
      <vt:lpstr>Net_revenue.cya</vt:lpstr>
      <vt:lpstr>Net_revenue.mdl.cya</vt:lpstr>
      <vt:lpstr>Net_revenue.pdh.cya</vt:lpstr>
      <vt:lpstr>Net_Revenue.Total_staff.cya</vt:lpstr>
      <vt:lpstr>Net_revenue_plan</vt:lpstr>
      <vt:lpstr>Net_Variance_net.rev</vt:lpstr>
      <vt:lpstr>No._months_raise_effective</vt:lpstr>
      <vt:lpstr>Non_technical_indirect</vt:lpstr>
      <vt:lpstr>Non_technical_indirect_PTO</vt:lpstr>
      <vt:lpstr>Non_technical_OT.current.ytd.actual</vt:lpstr>
      <vt:lpstr>nontech.fte.cyl</vt:lpstr>
      <vt:lpstr>nontech.fte.lyl</vt:lpstr>
      <vt:lpstr>nontech.ot.cyl</vt:lpstr>
      <vt:lpstr>nontech.ot.lyl</vt:lpstr>
      <vt:lpstr>NonTechnical.ot.pct.cya</vt:lpstr>
      <vt:lpstr>Ohead_per_dir_hour</vt:lpstr>
      <vt:lpstr>Operating_profit.mdl.cya</vt:lpstr>
      <vt:lpstr>Operating_profit.pdh.cya</vt:lpstr>
      <vt:lpstr>Operating_Profit___Percentage_of_Net_Revenue.cya</vt:lpstr>
      <vt:lpstr>Operating_profit_cya</vt:lpstr>
      <vt:lpstr>Operating_profit_multiple_of_direct_labor</vt:lpstr>
      <vt:lpstr>Operating_profit_per_dir_hour</vt:lpstr>
      <vt:lpstr>Operating_profit_percentage_of_net_revenue</vt:lpstr>
      <vt:lpstr>Operating_profit_percentage_of_total_revenue</vt:lpstr>
      <vt:lpstr>Operating_profit_plan</vt:lpstr>
      <vt:lpstr>Operating_profit_target</vt:lpstr>
      <vt:lpstr>Other_miscellaneous_income</vt:lpstr>
      <vt:lpstr>Other_reimbursable__expense_multiple</vt:lpstr>
      <vt:lpstr>over.90.cya</vt:lpstr>
      <vt:lpstr>over.90.cyl</vt:lpstr>
      <vt:lpstr>over.90.lyl</vt:lpstr>
      <vt:lpstr>overhead.cyb</vt:lpstr>
      <vt:lpstr>overhead.cyl</vt:lpstr>
      <vt:lpstr>overhead.cyv</vt:lpstr>
      <vt:lpstr>overhead.lya</vt:lpstr>
      <vt:lpstr>overhead.lyl</vt:lpstr>
      <vt:lpstr>overhead.lyv</vt:lpstr>
      <vt:lpstr>overhead.mdl.cyl</vt:lpstr>
      <vt:lpstr>overhead.mdl.lyl</vt:lpstr>
      <vt:lpstr>overhead.net.variance</vt:lpstr>
      <vt:lpstr>Overhead_expense.pdh.cya</vt:lpstr>
      <vt:lpstr>Overhead_rate.mdl.cya</vt:lpstr>
      <vt:lpstr>Overhead_rate_plan</vt:lpstr>
      <vt:lpstr>pct.over.90.lya</vt:lpstr>
      <vt:lpstr>Period.ending.date</vt:lpstr>
      <vt:lpstr>Period_No.</vt:lpstr>
      <vt:lpstr>Plus__Direct_labor.cya</vt:lpstr>
      <vt:lpstr>price.variance.dir.labor</vt:lpstr>
      <vt:lpstr>price.variance.overhead</vt:lpstr>
      <vt:lpstr>price.variance.profit</vt:lpstr>
      <vt:lpstr>Price_Variance.net.rev</vt:lpstr>
      <vt:lpstr>Principals__return_on_investment</vt:lpstr>
      <vt:lpstr>'Tab 23 PlanAnalysis'!Print_Area</vt:lpstr>
      <vt:lpstr>'Tab-14 CurrentData'!Print_Area</vt:lpstr>
      <vt:lpstr>'Tab-16 Analysis'!Print_Area</vt:lpstr>
      <vt:lpstr>'Tab-19 Formula Variables'!Print_Area</vt:lpstr>
      <vt:lpstr>'Tab-21 Labor Budget'!Print_Area</vt:lpstr>
      <vt:lpstr>'Tab-22 ProfitPlan'!Print_Area</vt:lpstr>
      <vt:lpstr>'Tab-24 TimeAnalysis'!Print_Area</vt:lpstr>
      <vt:lpstr>'Tab-25 LaborSummary'!Print_Area</vt:lpstr>
      <vt:lpstr>'Tab-26 Multiple_of_DPE'!Print_Area</vt:lpstr>
      <vt:lpstr>'Tab-27 PriorKey'!Print_Area</vt:lpstr>
      <vt:lpstr>'Tab-28 CashPlan'!Print_Area</vt:lpstr>
      <vt:lpstr>'Tab-14 CurrentData'!Print_Titles</vt:lpstr>
      <vt:lpstr>'Tab-15 PriorData'!Print_Titles</vt:lpstr>
      <vt:lpstr>'Tab-16 Analysis'!Print_Titles</vt:lpstr>
      <vt:lpstr>'Tab-21 Labor Budget'!Print_Titles</vt:lpstr>
      <vt:lpstr>'Tab-22 ProfitPlan'!Print_Titles</vt:lpstr>
      <vt:lpstr>'Tab-27 PriorKey'!Print_Titles</vt:lpstr>
      <vt:lpstr>profit.cyb</vt:lpstr>
      <vt:lpstr>profit.cyl</vt:lpstr>
      <vt:lpstr>profit.cyv</vt:lpstr>
      <vt:lpstr>profit.fte.cyl</vt:lpstr>
      <vt:lpstr>profit.fte.lyl</vt:lpstr>
      <vt:lpstr>profit.lya</vt:lpstr>
      <vt:lpstr>profit.lyl</vt:lpstr>
      <vt:lpstr>profit.lyv</vt:lpstr>
      <vt:lpstr>profit.mdl.cyl</vt:lpstr>
      <vt:lpstr>profit.mdl.lyl</vt:lpstr>
      <vt:lpstr>profit.pct.cyv</vt:lpstr>
      <vt:lpstr>profit.pct.net.rev.cyb</vt:lpstr>
      <vt:lpstr>profit.pct.net.rev.cyl</vt:lpstr>
      <vt:lpstr>profit.pct.net.rev.lya</vt:lpstr>
      <vt:lpstr>profit.pct.net.rev.lyl</vt:lpstr>
      <vt:lpstr>profit.pct.net.rev.lyv</vt:lpstr>
      <vt:lpstr>profit.tech.cyl</vt:lpstr>
      <vt:lpstr>profit.tech.lyl</vt:lpstr>
      <vt:lpstr>Profit.Technical_staff.cya</vt:lpstr>
      <vt:lpstr>Profit.Total_staff.cya</vt:lpstr>
      <vt:lpstr>ratio.tech.nontech.cyl</vt:lpstr>
      <vt:lpstr>ratio.tech.nontech.lyl</vt:lpstr>
      <vt:lpstr>Ratio__Technical_NonTechnical.cya</vt:lpstr>
      <vt:lpstr>Recovery_of_bad_debt_write_off</vt:lpstr>
      <vt:lpstr>Reimbursable_consultant_multiple</vt:lpstr>
      <vt:lpstr>Retirement_plan_contribution_percent_of_base_pay</vt:lpstr>
      <vt:lpstr>rev.factor.cyl</vt:lpstr>
      <vt:lpstr>rev.factor.lyl</vt:lpstr>
      <vt:lpstr>Revenue_factor.cya</vt:lpstr>
      <vt:lpstr>Revenue_Factor_Target</vt:lpstr>
      <vt:lpstr>Sale_of_assets_gain_or__loss</vt:lpstr>
      <vt:lpstr>Standard_hours</vt:lpstr>
      <vt:lpstr>Standard_hours.current.ytd.actual</vt:lpstr>
      <vt:lpstr>State_unemployment_amount</vt:lpstr>
      <vt:lpstr>State_unemployment_rate</vt:lpstr>
      <vt:lpstr>Subtotal_Indirect_Labor.cya</vt:lpstr>
      <vt:lpstr>tech.direct.lyv</vt:lpstr>
      <vt:lpstr>tech.ot.cyl</vt:lpstr>
      <vt:lpstr>tech.ot.lyl</vt:lpstr>
      <vt:lpstr>tech.ot.pct.cya</vt:lpstr>
      <vt:lpstr>Tech_direct_hrs_total</vt:lpstr>
      <vt:lpstr>Technical.direct.Actual.YTD</vt:lpstr>
      <vt:lpstr>Technical.direct.Budget.YTD</vt:lpstr>
      <vt:lpstr>technical.direct.current.ytd.variance</vt:lpstr>
      <vt:lpstr>technical.direct.cyb</vt:lpstr>
      <vt:lpstr>Technical.direct.Last.YTD</vt:lpstr>
      <vt:lpstr>technical.indirect.pto.current.ytd.variance</vt:lpstr>
      <vt:lpstr>technical.indirectcurrent.ytd.variance</vt:lpstr>
      <vt:lpstr>technical.ot.cyl</vt:lpstr>
      <vt:lpstr>Technical_direct</vt:lpstr>
      <vt:lpstr>Technical_indirect</vt:lpstr>
      <vt:lpstr>Technical_indirect_PTO</vt:lpstr>
      <vt:lpstr>Technical_only_hours.cya</vt:lpstr>
      <vt:lpstr>Technical_OT.current.ytd.actual</vt:lpstr>
      <vt:lpstr>Technical_overtime_FTE.cya</vt:lpstr>
      <vt:lpstr>Technical_regular_FTE.cya</vt:lpstr>
      <vt:lpstr>Technical_staff_net_rev_fte</vt:lpstr>
      <vt:lpstr>Technical_staff_profit_fte</vt:lpstr>
      <vt:lpstr>total.fte.cyl</vt:lpstr>
      <vt:lpstr>total.fte.lyl</vt:lpstr>
      <vt:lpstr>total.labor.cyl</vt:lpstr>
      <vt:lpstr>total.labor.lyl</vt:lpstr>
      <vt:lpstr>Total.labor.variance.cyv</vt:lpstr>
      <vt:lpstr>total.ot.cyl</vt:lpstr>
      <vt:lpstr>total.ot.lyl</vt:lpstr>
      <vt:lpstr>total.rev.cyl</vt:lpstr>
      <vt:lpstr>total.rev.cyv</vt:lpstr>
      <vt:lpstr>total.rev.lya</vt:lpstr>
      <vt:lpstr>total.rev.lyl</vt:lpstr>
      <vt:lpstr>total.rev.lyv</vt:lpstr>
      <vt:lpstr>total.rev.pct.net.rev.cyv</vt:lpstr>
      <vt:lpstr>total.revenue.cyb</vt:lpstr>
      <vt:lpstr>total.revenue.pct.net.rev.cyl</vt:lpstr>
      <vt:lpstr>total.revenue.pct.net.revenue.cyb</vt:lpstr>
      <vt:lpstr>total.tech.fte.cyl</vt:lpstr>
      <vt:lpstr>total.tech.fte.lyl</vt:lpstr>
      <vt:lpstr>total.techncial.nontechnical.lyl</vt:lpstr>
      <vt:lpstr>total.technical.nontechnical.cyl</vt:lpstr>
      <vt:lpstr>'Tab-22 ProfitPlan'!Total_benefits</vt:lpstr>
      <vt:lpstr>Total_federal_and_state_income_tax_provision</vt:lpstr>
      <vt:lpstr>Total_FTE.cya</vt:lpstr>
      <vt:lpstr>Total_Labor.cya</vt:lpstr>
      <vt:lpstr>Total_multiplier_plan</vt:lpstr>
      <vt:lpstr>Total_nontechnical</vt:lpstr>
      <vt:lpstr>Total_other_nonoperating_revenue</vt:lpstr>
      <vt:lpstr>Total_Overhead_expense.cya</vt:lpstr>
      <vt:lpstr>Total_overtime.current.ytd.actual</vt:lpstr>
      <vt:lpstr>Total_principal_hours</vt:lpstr>
      <vt:lpstr>Total_profit</vt:lpstr>
      <vt:lpstr>Total_revenue.cya</vt:lpstr>
      <vt:lpstr>Total_Revenue___Percentage_of_Net_Revenue.cya</vt:lpstr>
      <vt:lpstr>Total_staff_net_rev_fte</vt:lpstr>
      <vt:lpstr>Total_staff_profit_fte</vt:lpstr>
      <vt:lpstr>'Tab-24 TimeAnalysis'!Total_technical</vt:lpstr>
      <vt:lpstr>Total_technical</vt:lpstr>
      <vt:lpstr>Total_technical_FTE.cya</vt:lpstr>
      <vt:lpstr>Total_wages_for_hours_worked</vt:lpstr>
      <vt:lpstr>utilization.dollars.cyl</vt:lpstr>
      <vt:lpstr>utilization.dollars.lyl</vt:lpstr>
      <vt:lpstr>Utilization.Firmwide.Dollars</vt:lpstr>
      <vt:lpstr>utilization.standard.cyl</vt:lpstr>
      <vt:lpstr>utilization.standard.lyl</vt:lpstr>
      <vt:lpstr>utilization.tech.hours.cyl</vt:lpstr>
      <vt:lpstr>utilization.tech.hours.yly</vt:lpstr>
      <vt:lpstr>utilization.total.hours.cyl</vt:lpstr>
      <vt:lpstr>utilization.total.hours.lyl</vt:lpstr>
      <vt:lpstr>Utilization_rate_firmwide_dollars_plan</vt:lpstr>
      <vt:lpstr>Utilization_rate_firmwide_hours_plan</vt:lpstr>
      <vt:lpstr>volume.variance.dir.labor</vt:lpstr>
      <vt:lpstr>volume.variance.overhead</vt:lpstr>
      <vt:lpstr>volume.variance.profit</vt:lpstr>
      <vt:lpstr>Volume_Variance_net.revenue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creator>John Burson</dc:creator>
  <cp:keywords>CAPP * Computer Aided Profit Plan</cp:keywords>
  <cp:lastModifiedBy>John M Burson</cp:lastModifiedBy>
  <cp:lastPrinted>2012-06-09T02:57:31Z</cp:lastPrinted>
  <dcterms:created xsi:type="dcterms:W3CDTF">1997-09-11T22:01:01Z</dcterms:created>
  <dcterms:modified xsi:type="dcterms:W3CDTF">2012-06-09T03:00:32Z</dcterms:modified>
</cp:coreProperties>
</file>